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comments2.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D:\00 PROYECTOS JOSE\22-INV-06 BIM-LCA Construction\Meetings\Final BIM-LCA Project Meeting\Excel\"/>
    </mc:Choice>
  </mc:AlternateContent>
  <xr:revisionPtr revIDLastSave="0" documentId="13_ncr:1_{C8E4392B-0F61-42EC-8A23-09A95D7A0EED}" xr6:coauthVersionLast="47" xr6:coauthVersionMax="47" xr10:uidLastSave="{00000000-0000-0000-0000-000000000000}"/>
  <bookViews>
    <workbookView xWindow="-120" yWindow="-120" windowWidth="29040" windowHeight="15840" activeTab="3" xr2:uid="{00000000-000D-0000-FFFF-FFFF00000000}"/>
  </bookViews>
  <sheets>
    <sheet name="Readme" sheetId="4" r:id="rId1"/>
    <sheet name="Building &amp; Material inputs" sheetId="6" r:id="rId2"/>
    <sheet name="Material quantities" sheetId="2" r:id="rId3"/>
    <sheet name="Material impact data" sheetId="1" r:id="rId4"/>
    <sheet name="Results - Tables" sheetId="3" r:id="rId5"/>
    <sheet name="Graphical Results" sheetId="7" r:id="rId6"/>
  </sheets>
  <definedNames>
    <definedName name="_Hlk124411329" localSheetId="0">Readme!$F$5</definedName>
    <definedName name="_xlnm.Print_Area" localSheetId="1">'Building &amp; Material inputs'!$A$2:$H$212</definedName>
    <definedName name="_xlnm.Print_Area" localSheetId="5">'Graphical Results'!$A$1:$AA$248</definedName>
    <definedName name="_xlnm.Print_Area" localSheetId="3">'Material impact data'!$B$2:$J$61</definedName>
    <definedName name="_xlnm.Print_Area" localSheetId="2">'Material quantities'!$B$1:$Q$245</definedName>
    <definedName name="_xlnm.Print_Area" localSheetId="4">'Results - Tables'!$B$1:$BO$142</definedName>
    <definedName name="e">'Material quantities'!$I$138</definedName>
    <definedName name="nr">'Material quantities'!$H$138</definedName>
    <definedName name="Par_1">'Material quantities'!$K$138</definedName>
    <definedName name="Par_2">'Material quantities'!$M$138</definedName>
    <definedName name="Par_3">'Material quantities'!$T$138</definedName>
    <definedName name="_xlnm.Print_Titles" localSheetId="1">'Building &amp; Material inputs'!$2:$12</definedName>
    <definedName name="_xlnm.Print_Titles" localSheetId="5">'Graphical Results'!$2:$18</definedName>
    <definedName name="_xlnm.Print_Titles" localSheetId="3">'Material impact data'!$2:$18</definedName>
    <definedName name="_xlnm.Print_Titles" localSheetId="2">'Material quantities'!$2:$21</definedName>
    <definedName name="_xlnm.Print_Titles" localSheetId="4">'Results - Tables'!$B:$L,'Results - Tables'!$1:$19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29" i="1" l="1"/>
  <c r="AL29" i="1"/>
  <c r="AK29" i="1"/>
  <c r="AJ29" i="1"/>
  <c r="AI29" i="1"/>
  <c r="AH29" i="1"/>
  <c r="AG29" i="1"/>
  <c r="AF29" i="1"/>
  <c r="AE29" i="1"/>
  <c r="AD29" i="1"/>
  <c r="AC29" i="1"/>
  <c r="AB29" i="1"/>
  <c r="AA29" i="1"/>
  <c r="Z29" i="1"/>
  <c r="Y29" i="1"/>
  <c r="X29" i="1"/>
  <c r="W29" i="1"/>
  <c r="V29" i="1"/>
  <c r="U29" i="1"/>
  <c r="T29" i="1"/>
  <c r="R29" i="1"/>
  <c r="P29" i="1"/>
  <c r="N29" i="1"/>
  <c r="M29" i="1"/>
  <c r="O50" i="2"/>
  <c r="O49" i="2"/>
  <c r="H59" i="3"/>
  <c r="L59" i="3" s="1"/>
  <c r="I58" i="3"/>
  <c r="I60" i="3"/>
  <c r="H60" i="3"/>
  <c r="H61" i="3"/>
  <c r="H62" i="3"/>
  <c r="H63" i="3"/>
  <c r="G139" i="2"/>
  <c r="H139" i="3" s="1"/>
  <c r="G130" i="2"/>
  <c r="H130" i="3" s="1"/>
  <c r="G121" i="2"/>
  <c r="H121" i="3" s="1"/>
  <c r="G116" i="2"/>
  <c r="G111" i="2"/>
  <c r="H111" i="3" s="1"/>
  <c r="G89" i="2"/>
  <c r="H89" i="3" s="1"/>
  <c r="G85" i="2"/>
  <c r="H85" i="3" s="1"/>
  <c r="G82" i="2"/>
  <c r="H82" i="3" s="1"/>
  <c r="G74" i="2"/>
  <c r="H74" i="3" s="1"/>
  <c r="C208" i="6"/>
  <c r="C209" i="6"/>
  <c r="C210" i="6" s="1"/>
  <c r="C211" i="6" s="1"/>
  <c r="C207" i="6"/>
  <c r="H128" i="3"/>
  <c r="H129" i="3"/>
  <c r="H131" i="3"/>
  <c r="H132" i="3"/>
  <c r="H133" i="3"/>
  <c r="H134" i="3"/>
  <c r="H135" i="3"/>
  <c r="H136" i="3"/>
  <c r="H137" i="3"/>
  <c r="H138" i="3"/>
  <c r="H127" i="3"/>
  <c r="H114" i="3"/>
  <c r="H115" i="3"/>
  <c r="H116" i="3"/>
  <c r="H117" i="3"/>
  <c r="H118" i="3"/>
  <c r="H119" i="3"/>
  <c r="H120" i="3"/>
  <c r="H124" i="3"/>
  <c r="H125" i="3"/>
  <c r="H88" i="3"/>
  <c r="H66" i="3"/>
  <c r="H67" i="3"/>
  <c r="H68" i="3"/>
  <c r="H69" i="3"/>
  <c r="H70" i="3"/>
  <c r="H71" i="3"/>
  <c r="H72" i="3"/>
  <c r="H73" i="3"/>
  <c r="H75" i="3"/>
  <c r="H76" i="3"/>
  <c r="H77" i="3"/>
  <c r="H78" i="3"/>
  <c r="H79" i="3"/>
  <c r="H80" i="3"/>
  <c r="H81" i="3"/>
  <c r="H83" i="3"/>
  <c r="H84" i="3"/>
  <c r="H86" i="3"/>
  <c r="H87" i="3"/>
  <c r="H90" i="3"/>
  <c r="H91" i="3"/>
  <c r="H92" i="3"/>
  <c r="H93" i="3"/>
  <c r="H94" i="3"/>
  <c r="H95" i="3"/>
  <c r="H96" i="3"/>
  <c r="H97" i="3"/>
  <c r="H98" i="3"/>
  <c r="H99" i="3"/>
  <c r="H100" i="3"/>
  <c r="H101" i="3"/>
  <c r="H102" i="3"/>
  <c r="H103" i="3"/>
  <c r="H104" i="3"/>
  <c r="H105" i="3"/>
  <c r="H106" i="3"/>
  <c r="H107" i="3"/>
  <c r="H65" i="3"/>
  <c r="H39" i="3"/>
  <c r="H40" i="3"/>
  <c r="H41" i="3"/>
  <c r="H42" i="3"/>
  <c r="H43" i="3"/>
  <c r="H44" i="3"/>
  <c r="H45" i="3"/>
  <c r="H46" i="3"/>
  <c r="H47" i="3"/>
  <c r="H48" i="3"/>
  <c r="H49" i="3"/>
  <c r="H50" i="3"/>
  <c r="H51" i="3"/>
  <c r="H52" i="3"/>
  <c r="H53" i="3"/>
  <c r="H54" i="3"/>
  <c r="H55" i="3"/>
  <c r="H56" i="3"/>
  <c r="H57" i="3"/>
  <c r="H58" i="3"/>
  <c r="H38" i="3"/>
  <c r="H22" i="3"/>
  <c r="H23" i="3"/>
  <c r="H24" i="3"/>
  <c r="H25" i="3"/>
  <c r="H26" i="3"/>
  <c r="H27" i="3"/>
  <c r="H28" i="3"/>
  <c r="H29" i="3"/>
  <c r="H30" i="3"/>
  <c r="H31" i="3"/>
  <c r="H32" i="3"/>
  <c r="H33" i="3"/>
  <c r="H34" i="3"/>
  <c r="H35" i="3"/>
  <c r="H36" i="3"/>
  <c r="H21" i="3"/>
  <c r="O15" i="7"/>
  <c r="G15" i="3"/>
  <c r="F14" i="1"/>
  <c r="M12" i="2"/>
  <c r="H139" i="2"/>
  <c r="H138" i="2"/>
  <c r="H137" i="2"/>
  <c r="H136" i="2"/>
  <c r="H135" i="2"/>
  <c r="H128" i="2"/>
  <c r="H127" i="2"/>
  <c r="G123" i="2"/>
  <c r="H123" i="3" s="1"/>
  <c r="G122" i="2"/>
  <c r="H122" i="3" s="1"/>
  <c r="H122" i="2"/>
  <c r="H121" i="2"/>
  <c r="H120" i="2"/>
  <c r="H119" i="2"/>
  <c r="H117" i="2"/>
  <c r="H116" i="2"/>
  <c r="H115" i="2"/>
  <c r="H113" i="2"/>
  <c r="H118" i="2"/>
  <c r="H114" i="2"/>
  <c r="H112" i="2"/>
  <c r="H111" i="2"/>
  <c r="H110" i="2"/>
  <c r="H109" i="2"/>
  <c r="H102" i="2"/>
  <c r="H101" i="2"/>
  <c r="H100" i="2"/>
  <c r="H99" i="2"/>
  <c r="H98" i="2"/>
  <c r="H87" i="2"/>
  <c r="H86" i="2"/>
  <c r="H85" i="2"/>
  <c r="H84" i="2"/>
  <c r="H83" i="2"/>
  <c r="H82" i="2"/>
  <c r="H81" i="2"/>
  <c r="H80" i="2"/>
  <c r="H79" i="2"/>
  <c r="H78" i="2"/>
  <c r="H76" i="2"/>
  <c r="H77" i="2" s="1"/>
  <c r="H75" i="2"/>
  <c r="H74" i="2"/>
  <c r="H73" i="2"/>
  <c r="H72" i="2"/>
  <c r="H68" i="2"/>
  <c r="H71" i="2" s="1"/>
  <c r="H62" i="2"/>
  <c r="H63" i="2" s="1"/>
  <c r="H61" i="2"/>
  <c r="K62" i="2"/>
  <c r="K61" i="2"/>
  <c r="H60" i="2"/>
  <c r="H59" i="2"/>
  <c r="H52" i="2"/>
  <c r="H51" i="2"/>
  <c r="H57" i="2"/>
  <c r="H58" i="2" s="1"/>
  <c r="H56" i="2"/>
  <c r="H55" i="2"/>
  <c r="H54" i="2"/>
  <c r="H49" i="2"/>
  <c r="H50" i="2" s="1"/>
  <c r="H41" i="2"/>
  <c r="H46" i="2" s="1"/>
  <c r="H40" i="2"/>
  <c r="H45" i="2" s="1"/>
  <c r="H39" i="2"/>
  <c r="H44" i="2" s="1"/>
  <c r="H42" i="2"/>
  <c r="H47" i="2" s="1"/>
  <c r="H43" i="2"/>
  <c r="H48" i="2" s="1"/>
  <c r="H32" i="2"/>
  <c r="H31" i="2"/>
  <c r="H30" i="2"/>
  <c r="H22" i="2"/>
  <c r="H35" i="2"/>
  <c r="H34" i="2"/>
  <c r="H33" i="2"/>
  <c r="H29" i="2"/>
  <c r="H28" i="2"/>
  <c r="H27" i="2"/>
  <c r="H26" i="2"/>
  <c r="H25" i="2"/>
  <c r="H24" i="2"/>
  <c r="H23" i="2"/>
  <c r="T132" i="2"/>
  <c r="C18" i="6"/>
  <c r="D65" i="6"/>
  <c r="D56" i="6" s="1"/>
  <c r="K132" i="2" s="1"/>
  <c r="K68" i="2"/>
  <c r="D55" i="6"/>
  <c r="K127" i="2" s="1"/>
  <c r="D58" i="6"/>
  <c r="D42" i="6"/>
  <c r="K49" i="2" s="1"/>
  <c r="D29" i="6"/>
  <c r="CE154" i="3"/>
  <c r="CD154" i="3"/>
  <c r="CC154" i="3"/>
  <c r="BZ154" i="3"/>
  <c r="BY154" i="3"/>
  <c r="BX154" i="3"/>
  <c r="BU154" i="3"/>
  <c r="H69" i="2" l="1"/>
  <c r="H70" i="2"/>
  <c r="H53" i="2"/>
  <c r="K51" i="2"/>
  <c r="K53" i="2" s="1"/>
  <c r="K54" i="2" s="1"/>
  <c r="E65" i="6"/>
  <c r="K65" i="2" s="1"/>
  <c r="BT154" i="3"/>
  <c r="BS154" i="3" l="1"/>
  <c r="BT119" i="3" l="1"/>
  <c r="BS119" i="3"/>
  <c r="K124" i="2" l="1"/>
  <c r="O124" i="2" s="1"/>
  <c r="K123" i="2"/>
  <c r="O123" i="2" s="1"/>
  <c r="K78" i="2"/>
  <c r="K93" i="2"/>
  <c r="K94" i="2"/>
  <c r="K95" i="2"/>
  <c r="K88" i="2"/>
  <c r="O88" i="2" s="1"/>
  <c r="O62" i="2"/>
  <c r="O63" i="2" s="1"/>
  <c r="K44" i="2"/>
  <c r="O44" i="2" s="1"/>
  <c r="O45" i="2" s="1"/>
  <c r="O37" i="2"/>
  <c r="O36" i="2"/>
  <c r="K39" i="2"/>
  <c r="O39" i="2" s="1"/>
  <c r="O40" i="2" s="1"/>
  <c r="K35" i="2"/>
  <c r="K33" i="2"/>
  <c r="K26" i="2"/>
  <c r="K32" i="2"/>
  <c r="K30" i="2"/>
  <c r="K29" i="2"/>
  <c r="K27" i="2"/>
  <c r="K24" i="2"/>
  <c r="K22" i="2"/>
  <c r="O22" i="2" s="1"/>
  <c r="G112" i="2"/>
  <c r="H112" i="3" s="1"/>
  <c r="K89" i="2" l="1"/>
  <c r="K41" i="2"/>
  <c r="O41" i="2" s="1"/>
  <c r="K46" i="2"/>
  <c r="AM59" i="3"/>
  <c r="AL59" i="3"/>
  <c r="AK59" i="3"/>
  <c r="AJ59" i="3"/>
  <c r="AI59" i="3"/>
  <c r="AH59" i="3"/>
  <c r="AG59" i="3"/>
  <c r="AF59" i="3"/>
  <c r="AE59" i="3"/>
  <c r="AD59" i="3"/>
  <c r="AC59" i="3"/>
  <c r="AB59" i="3"/>
  <c r="AA59" i="3"/>
  <c r="Z59" i="3"/>
  <c r="Y59" i="3"/>
  <c r="X59" i="3"/>
  <c r="W59" i="3"/>
  <c r="V59" i="3"/>
  <c r="U59" i="3"/>
  <c r="T59" i="3"/>
  <c r="S59" i="3"/>
  <c r="R59" i="3"/>
  <c r="Q59" i="3"/>
  <c r="P59" i="3"/>
  <c r="O59" i="3"/>
  <c r="N59" i="3"/>
  <c r="M59" i="3"/>
  <c r="K42" i="2" l="1"/>
  <c r="O42" i="2" s="1"/>
  <c r="O43" i="2" s="1"/>
  <c r="K59" i="2"/>
  <c r="O59" i="2" s="1"/>
  <c r="O60" i="2" s="1"/>
  <c r="L60" i="3" s="1"/>
  <c r="O51" i="2"/>
  <c r="O52" i="2" s="1"/>
  <c r="O46" i="2"/>
  <c r="I45" i="3" s="1"/>
  <c r="L45" i="3" s="1"/>
  <c r="K47" i="2"/>
  <c r="O61" i="2"/>
  <c r="O26" i="2"/>
  <c r="I25" i="3" s="1"/>
  <c r="L25" i="3" s="1"/>
  <c r="O24" i="2"/>
  <c r="I23" i="3" s="1"/>
  <c r="L23" i="3" s="1"/>
  <c r="I21" i="3"/>
  <c r="L21" i="3" s="1"/>
  <c r="I40" i="3"/>
  <c r="L40" i="3" s="1"/>
  <c r="I44" i="3"/>
  <c r="L44" i="3" s="1"/>
  <c r="I39" i="3"/>
  <c r="L39" i="3" s="1"/>
  <c r="I38" i="3"/>
  <c r="L38" i="3" s="1"/>
  <c r="I43" i="3"/>
  <c r="L43" i="3" s="1"/>
  <c r="E14" i="2"/>
  <c r="J137" i="2"/>
  <c r="T133" i="2"/>
  <c r="T134" i="2" s="1"/>
  <c r="T135" i="2" s="1"/>
  <c r="T136" i="2" s="1"/>
  <c r="T137" i="2" s="1"/>
  <c r="K125" i="2"/>
  <c r="O125" i="2" s="1"/>
  <c r="I125" i="3" s="1"/>
  <c r="L125" i="3" s="1"/>
  <c r="I124" i="3"/>
  <c r="L124" i="3" s="1"/>
  <c r="I123" i="3"/>
  <c r="L123" i="3" s="1"/>
  <c r="G113" i="2"/>
  <c r="H113" i="3" s="1"/>
  <c r="K109" i="2"/>
  <c r="K110" i="2" s="1"/>
  <c r="O110" i="2" s="1"/>
  <c r="I110" i="3" s="1"/>
  <c r="G110" i="2"/>
  <c r="H110" i="3" s="1"/>
  <c r="G109" i="2"/>
  <c r="H109" i="3" s="1"/>
  <c r="K103" i="2"/>
  <c r="O29" i="2"/>
  <c r="I28" i="3" s="1"/>
  <c r="L28" i="3" s="1"/>
  <c r="O32" i="2"/>
  <c r="I31" i="3" s="1"/>
  <c r="L31" i="3" s="1"/>
  <c r="K97" i="2"/>
  <c r="O94" i="2"/>
  <c r="I94" i="3" s="1"/>
  <c r="L94" i="3" s="1"/>
  <c r="O93" i="2"/>
  <c r="I93" i="3" s="1"/>
  <c r="L93" i="3" s="1"/>
  <c r="K91" i="2"/>
  <c r="K79" i="2"/>
  <c r="I35" i="3"/>
  <c r="L35" i="3" s="1"/>
  <c r="O33" i="2"/>
  <c r="I32" i="3" s="1"/>
  <c r="L32" i="3" s="1"/>
  <c r="O30" i="2"/>
  <c r="I29" i="3" s="1"/>
  <c r="L29" i="3" s="1"/>
  <c r="O65" i="2"/>
  <c r="M56" i="2"/>
  <c r="I36" i="3"/>
  <c r="L36" i="3" s="1"/>
  <c r="O35" i="2"/>
  <c r="I34" i="3" s="1"/>
  <c r="L34" i="3" s="1"/>
  <c r="B20" i="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K25" i="2"/>
  <c r="K23" i="2"/>
  <c r="O34" i="2"/>
  <c r="K31" i="2"/>
  <c r="O31" i="2" s="1"/>
  <c r="E15" i="2" s="1"/>
  <c r="K28" i="2"/>
  <c r="O27" i="2"/>
  <c r="I26" i="3" s="1"/>
  <c r="L26" i="3" s="1"/>
  <c r="H50" i="1"/>
  <c r="H36" i="1"/>
  <c r="I41" i="3" l="1"/>
  <c r="L41" i="3" s="1"/>
  <c r="L58" i="3"/>
  <c r="O103" i="2"/>
  <c r="I103" i="3" s="1"/>
  <c r="O127" i="2"/>
  <c r="K128" i="2"/>
  <c r="O128" i="2" s="1"/>
  <c r="I128" i="3" s="1"/>
  <c r="L128" i="3" s="1"/>
  <c r="O48" i="2"/>
  <c r="I47" i="3" s="1"/>
  <c r="L47" i="3" s="1"/>
  <c r="O47" i="2"/>
  <c r="I46" i="3" s="1"/>
  <c r="L46" i="3" s="1"/>
  <c r="O97" i="2"/>
  <c r="I97" i="3" s="1"/>
  <c r="L97" i="3" s="1"/>
  <c r="K101" i="2"/>
  <c r="O101" i="2" s="1"/>
  <c r="O102" i="2" s="1"/>
  <c r="L110" i="3"/>
  <c r="I62" i="3"/>
  <c r="L62" i="3" s="1"/>
  <c r="I63" i="3"/>
  <c r="L63" i="3" s="1"/>
  <c r="AR59" i="3"/>
  <c r="AW59" i="3"/>
  <c r="AZ59" i="3"/>
  <c r="AS59" i="3"/>
  <c r="BO59" i="3"/>
  <c r="BJ59" i="3"/>
  <c r="BM59" i="3"/>
  <c r="AY59" i="3"/>
  <c r="BL59" i="3"/>
  <c r="AP59" i="3"/>
  <c r="BB59" i="3"/>
  <c r="BN59" i="3"/>
  <c r="BD59" i="3"/>
  <c r="BI59" i="3"/>
  <c r="BC59" i="3"/>
  <c r="AQ59" i="3"/>
  <c r="BA59" i="3"/>
  <c r="AT59" i="3"/>
  <c r="BF59" i="3"/>
  <c r="AO59" i="3"/>
  <c r="BG59" i="3"/>
  <c r="AV59" i="3"/>
  <c r="BH59" i="3"/>
  <c r="BE59" i="3"/>
  <c r="AX59" i="3"/>
  <c r="AU59" i="3"/>
  <c r="BK59" i="3"/>
  <c r="AL29" i="3"/>
  <c r="BN29" i="3" s="1"/>
  <c r="AD29" i="3"/>
  <c r="BF29" i="3" s="1"/>
  <c r="V29" i="3"/>
  <c r="AX29" i="3" s="1"/>
  <c r="N29" i="3"/>
  <c r="AP29" i="3" s="1"/>
  <c r="AM29" i="3"/>
  <c r="BO29" i="3" s="1"/>
  <c r="AE29" i="3"/>
  <c r="BG29" i="3" s="1"/>
  <c r="W29" i="3"/>
  <c r="AY29" i="3" s="1"/>
  <c r="O29" i="3"/>
  <c r="AQ29" i="3" s="1"/>
  <c r="AG29" i="3"/>
  <c r="BI29" i="3" s="1"/>
  <c r="Y29" i="3"/>
  <c r="BA29" i="3" s="1"/>
  <c r="Q29" i="3"/>
  <c r="AS29" i="3" s="1"/>
  <c r="AA29" i="3"/>
  <c r="BC29" i="3" s="1"/>
  <c r="AF29" i="3"/>
  <c r="BH29" i="3" s="1"/>
  <c r="Z29" i="3"/>
  <c r="BB29" i="3" s="1"/>
  <c r="U29" i="3"/>
  <c r="AW29" i="3" s="1"/>
  <c r="T29" i="3"/>
  <c r="AV29" i="3" s="1"/>
  <c r="AJ29" i="3"/>
  <c r="BL29" i="3" s="1"/>
  <c r="X29" i="3"/>
  <c r="AZ29" i="3" s="1"/>
  <c r="R29" i="3"/>
  <c r="AT29" i="3" s="1"/>
  <c r="M29" i="3"/>
  <c r="AO29" i="3" s="1"/>
  <c r="AK29" i="3"/>
  <c r="BM29" i="3" s="1"/>
  <c r="S29" i="3"/>
  <c r="AU29" i="3" s="1"/>
  <c r="AI29" i="3"/>
  <c r="BK29" i="3" s="1"/>
  <c r="AH29" i="3"/>
  <c r="BJ29" i="3" s="1"/>
  <c r="AC29" i="3"/>
  <c r="BE29" i="3" s="1"/>
  <c r="P29" i="3"/>
  <c r="AR29" i="3" s="1"/>
  <c r="AB29" i="3"/>
  <c r="BD29" i="3" s="1"/>
  <c r="AK93" i="3"/>
  <c r="BM93" i="3" s="1"/>
  <c r="AG93" i="3"/>
  <c r="BI93" i="3" s="1"/>
  <c r="AC93" i="3"/>
  <c r="BE93" i="3" s="1"/>
  <c r="Y93" i="3"/>
  <c r="BA93" i="3" s="1"/>
  <c r="AJ93" i="3"/>
  <c r="BL93" i="3" s="1"/>
  <c r="AB93" i="3"/>
  <c r="BD93" i="3" s="1"/>
  <c r="W93" i="3"/>
  <c r="AY93" i="3" s="1"/>
  <c r="S93" i="3"/>
  <c r="AU93" i="3" s="1"/>
  <c r="AM93" i="3"/>
  <c r="BO93" i="3" s="1"/>
  <c r="AE93" i="3"/>
  <c r="BG93" i="3" s="1"/>
  <c r="AH93" i="3"/>
  <c r="BJ93" i="3" s="1"/>
  <c r="Z93" i="3"/>
  <c r="BB93" i="3" s="1"/>
  <c r="V93" i="3"/>
  <c r="AX93" i="3" s="1"/>
  <c r="AF93" i="3"/>
  <c r="BH93" i="3" s="1"/>
  <c r="U93" i="3"/>
  <c r="AW93" i="3" s="1"/>
  <c r="Q93" i="3"/>
  <c r="AS93" i="3" s="1"/>
  <c r="N93" i="3"/>
  <c r="AP93" i="3" s="1"/>
  <c r="AA93" i="3"/>
  <c r="BC93" i="3" s="1"/>
  <c r="AI93" i="3"/>
  <c r="BK93" i="3" s="1"/>
  <c r="AD93" i="3"/>
  <c r="BF93" i="3" s="1"/>
  <c r="X93" i="3"/>
  <c r="AZ93" i="3" s="1"/>
  <c r="M93" i="3"/>
  <c r="AO93" i="3" s="1"/>
  <c r="AL93" i="3"/>
  <c r="BN93" i="3" s="1"/>
  <c r="P93" i="3"/>
  <c r="AR93" i="3" s="1"/>
  <c r="T93" i="3"/>
  <c r="AV93" i="3" s="1"/>
  <c r="R93" i="3"/>
  <c r="AT93" i="3" s="1"/>
  <c r="O93" i="3"/>
  <c r="AQ93" i="3" s="1"/>
  <c r="AM39" i="3"/>
  <c r="BO39" i="3" s="1"/>
  <c r="AL39" i="3"/>
  <c r="BN39" i="3" s="1"/>
  <c r="AK39" i="3"/>
  <c r="BM39" i="3" s="1"/>
  <c r="AH39" i="3"/>
  <c r="BJ39" i="3" s="1"/>
  <c r="AA39" i="3"/>
  <c r="BC39" i="3" s="1"/>
  <c r="S39" i="3"/>
  <c r="AU39" i="3" s="1"/>
  <c r="Y39" i="3"/>
  <c r="BA39" i="3" s="1"/>
  <c r="Q39" i="3"/>
  <c r="AS39" i="3" s="1"/>
  <c r="AF39" i="3"/>
  <c r="BH39" i="3" s="1"/>
  <c r="Z39" i="3"/>
  <c r="BB39" i="3" s="1"/>
  <c r="R39" i="3"/>
  <c r="AT39" i="3" s="1"/>
  <c r="AJ39" i="3"/>
  <c r="BL39" i="3" s="1"/>
  <c r="X39" i="3"/>
  <c r="AZ39" i="3" s="1"/>
  <c r="P39" i="3"/>
  <c r="AR39" i="3" s="1"/>
  <c r="W39" i="3"/>
  <c r="AY39" i="3" s="1"/>
  <c r="O39" i="3"/>
  <c r="AQ39" i="3" s="1"/>
  <c r="AC39" i="3"/>
  <c r="BE39" i="3" s="1"/>
  <c r="M39" i="3"/>
  <c r="AO39" i="3" s="1"/>
  <c r="AG39" i="3"/>
  <c r="BI39" i="3" s="1"/>
  <c r="AI39" i="3"/>
  <c r="BK39" i="3" s="1"/>
  <c r="AD39" i="3"/>
  <c r="BF39" i="3" s="1"/>
  <c r="T39" i="3"/>
  <c r="AV39" i="3" s="1"/>
  <c r="U39" i="3"/>
  <c r="AW39" i="3" s="1"/>
  <c r="AE39" i="3"/>
  <c r="BG39" i="3" s="1"/>
  <c r="V39" i="3"/>
  <c r="AX39" i="3" s="1"/>
  <c r="N39" i="3"/>
  <c r="AP39" i="3" s="1"/>
  <c r="AB39" i="3"/>
  <c r="BD39" i="3" s="1"/>
  <c r="AK58" i="3"/>
  <c r="BM58" i="3" s="1"/>
  <c r="N58" i="3"/>
  <c r="AP58" i="3" s="1"/>
  <c r="AL58" i="3"/>
  <c r="BN58" i="3" s="1"/>
  <c r="AA58" i="3"/>
  <c r="BC58" i="3" s="1"/>
  <c r="O58" i="3"/>
  <c r="AQ58" i="3" s="1"/>
  <c r="AM58" i="3"/>
  <c r="BO58" i="3" s="1"/>
  <c r="P58" i="3"/>
  <c r="AR58" i="3" s="1"/>
  <c r="AI43" i="3"/>
  <c r="BK43" i="3" s="1"/>
  <c r="AH43" i="3"/>
  <c r="BJ43" i="3" s="1"/>
  <c r="AG43" i="3"/>
  <c r="BI43" i="3" s="1"/>
  <c r="AM43" i="3"/>
  <c r="BO43" i="3" s="1"/>
  <c r="AL43" i="3"/>
  <c r="BN43" i="3" s="1"/>
  <c r="AK43" i="3"/>
  <c r="BM43" i="3" s="1"/>
  <c r="AE43" i="3"/>
  <c r="BG43" i="3" s="1"/>
  <c r="W43" i="3"/>
  <c r="AY43" i="3" s="1"/>
  <c r="O43" i="3"/>
  <c r="AQ43" i="3" s="1"/>
  <c r="M43" i="3"/>
  <c r="AO43" i="3" s="1"/>
  <c r="AD43" i="3"/>
  <c r="BF43" i="3" s="1"/>
  <c r="V43" i="3"/>
  <c r="AX43" i="3" s="1"/>
  <c r="N43" i="3"/>
  <c r="AP43" i="3" s="1"/>
  <c r="U43" i="3"/>
  <c r="AW43" i="3" s="1"/>
  <c r="AC43" i="3"/>
  <c r="BE43" i="3" s="1"/>
  <c r="AF43" i="3"/>
  <c r="BH43" i="3" s="1"/>
  <c r="AB43" i="3"/>
  <c r="BD43" i="3" s="1"/>
  <c r="T43" i="3"/>
  <c r="AV43" i="3" s="1"/>
  <c r="AA43" i="3"/>
  <c r="BC43" i="3" s="1"/>
  <c r="S43" i="3"/>
  <c r="AU43" i="3" s="1"/>
  <c r="Y43" i="3"/>
  <c r="BA43" i="3" s="1"/>
  <c r="Q43" i="3"/>
  <c r="AS43" i="3" s="1"/>
  <c r="AJ43" i="3"/>
  <c r="BL43" i="3" s="1"/>
  <c r="Z43" i="3"/>
  <c r="BB43" i="3" s="1"/>
  <c r="R43" i="3"/>
  <c r="AT43" i="3" s="1"/>
  <c r="X43" i="3"/>
  <c r="AZ43" i="3" s="1"/>
  <c r="P43" i="3"/>
  <c r="AR43" i="3" s="1"/>
  <c r="AF35" i="3"/>
  <c r="BH35" i="3" s="1"/>
  <c r="X35" i="3"/>
  <c r="AZ35" i="3" s="1"/>
  <c r="P35" i="3"/>
  <c r="AR35" i="3" s="1"/>
  <c r="AG35" i="3"/>
  <c r="BI35" i="3" s="1"/>
  <c r="Y35" i="3"/>
  <c r="BA35" i="3" s="1"/>
  <c r="Q35" i="3"/>
  <c r="AS35" i="3" s="1"/>
  <c r="AI35" i="3"/>
  <c r="BK35" i="3" s="1"/>
  <c r="AA35" i="3"/>
  <c r="BC35" i="3" s="1"/>
  <c r="S35" i="3"/>
  <c r="AU35" i="3" s="1"/>
  <c r="AD35" i="3"/>
  <c r="BF35" i="3" s="1"/>
  <c r="R35" i="3"/>
  <c r="AT35" i="3" s="1"/>
  <c r="AB35" i="3"/>
  <c r="BD35" i="3" s="1"/>
  <c r="W35" i="3"/>
  <c r="AY35" i="3" s="1"/>
  <c r="V35" i="3"/>
  <c r="AX35" i="3" s="1"/>
  <c r="AM35" i="3"/>
  <c r="BO35" i="3" s="1"/>
  <c r="AL35" i="3"/>
  <c r="BN35" i="3" s="1"/>
  <c r="Z35" i="3"/>
  <c r="BB35" i="3" s="1"/>
  <c r="AC35" i="3"/>
  <c r="BE35" i="3" s="1"/>
  <c r="AH35" i="3"/>
  <c r="BJ35" i="3" s="1"/>
  <c r="U35" i="3"/>
  <c r="AW35" i="3" s="1"/>
  <c r="AK35" i="3"/>
  <c r="BM35" i="3" s="1"/>
  <c r="O35" i="3"/>
  <c r="AQ35" i="3" s="1"/>
  <c r="N35" i="3"/>
  <c r="AP35" i="3" s="1"/>
  <c r="AE35" i="3"/>
  <c r="BG35" i="3" s="1"/>
  <c r="M35" i="3"/>
  <c r="AO35" i="3" s="1"/>
  <c r="T35" i="3"/>
  <c r="AV35" i="3" s="1"/>
  <c r="AJ35" i="3"/>
  <c r="BL35" i="3" s="1"/>
  <c r="AJ31" i="3"/>
  <c r="BL31" i="3" s="1"/>
  <c r="AB31" i="3"/>
  <c r="BD31" i="3" s="1"/>
  <c r="T31" i="3"/>
  <c r="AV31" i="3" s="1"/>
  <c r="AK31" i="3"/>
  <c r="BM31" i="3" s="1"/>
  <c r="AC31" i="3"/>
  <c r="BE31" i="3" s="1"/>
  <c r="U31" i="3"/>
  <c r="AW31" i="3" s="1"/>
  <c r="M31" i="3"/>
  <c r="AO31" i="3" s="1"/>
  <c r="AM31" i="3"/>
  <c r="BO31" i="3" s="1"/>
  <c r="AE31" i="3"/>
  <c r="BG31" i="3" s="1"/>
  <c r="W31" i="3"/>
  <c r="AY31" i="3" s="1"/>
  <c r="O31" i="3"/>
  <c r="AQ31" i="3" s="1"/>
  <c r="AH31" i="3"/>
  <c r="BJ31" i="3" s="1"/>
  <c r="V31" i="3"/>
  <c r="AX31" i="3" s="1"/>
  <c r="P31" i="3"/>
  <c r="AR31" i="3" s="1"/>
  <c r="AG31" i="3"/>
  <c r="BI31" i="3" s="1"/>
  <c r="AL31" i="3"/>
  <c r="BN31" i="3" s="1"/>
  <c r="AF31" i="3"/>
  <c r="BH31" i="3" s="1"/>
  <c r="AA31" i="3"/>
  <c r="BC31" i="3" s="1"/>
  <c r="Z31" i="3"/>
  <c r="BB31" i="3" s="1"/>
  <c r="N31" i="3"/>
  <c r="AP31" i="3" s="1"/>
  <c r="Y31" i="3"/>
  <c r="BA31" i="3" s="1"/>
  <c r="AD31" i="3"/>
  <c r="BF31" i="3" s="1"/>
  <c r="X31" i="3"/>
  <c r="AZ31" i="3" s="1"/>
  <c r="S31" i="3"/>
  <c r="AU31" i="3" s="1"/>
  <c r="R31" i="3"/>
  <c r="AT31" i="3" s="1"/>
  <c r="AI31" i="3"/>
  <c r="BK31" i="3" s="1"/>
  <c r="Q31" i="3"/>
  <c r="AS31" i="3" s="1"/>
  <c r="O21" i="3"/>
  <c r="AQ21" i="3" s="1"/>
  <c r="W21" i="3"/>
  <c r="AY21" i="3" s="1"/>
  <c r="AE21" i="3"/>
  <c r="BG21" i="3" s="1"/>
  <c r="AM21" i="3"/>
  <c r="BO21" i="3" s="1"/>
  <c r="P21" i="3"/>
  <c r="AR21" i="3" s="1"/>
  <c r="X21" i="3"/>
  <c r="AZ21" i="3" s="1"/>
  <c r="AF21" i="3"/>
  <c r="BH21" i="3" s="1"/>
  <c r="M21" i="3"/>
  <c r="AO21" i="3" s="1"/>
  <c r="R21" i="3"/>
  <c r="AT21" i="3" s="1"/>
  <c r="Z21" i="3"/>
  <c r="BB21" i="3" s="1"/>
  <c r="AH21" i="3"/>
  <c r="BJ21" i="3" s="1"/>
  <c r="AA21" i="3"/>
  <c r="BC21" i="3" s="1"/>
  <c r="AL21" i="3"/>
  <c r="BN21" i="3" s="1"/>
  <c r="AC21" i="3"/>
  <c r="BE21" i="3" s="1"/>
  <c r="S21" i="3"/>
  <c r="AU21" i="3" s="1"/>
  <c r="AD21" i="3"/>
  <c r="BF21" i="3" s="1"/>
  <c r="AG21" i="3"/>
  <c r="BI21" i="3" s="1"/>
  <c r="N21" i="3"/>
  <c r="AP21" i="3" s="1"/>
  <c r="AB21" i="3"/>
  <c r="BD21" i="3" s="1"/>
  <c r="Q21" i="3"/>
  <c r="AS21" i="3" s="1"/>
  <c r="T21" i="3"/>
  <c r="AV21" i="3" s="1"/>
  <c r="Y21" i="3"/>
  <c r="BA21" i="3" s="1"/>
  <c r="AI21" i="3"/>
  <c r="BK21" i="3" s="1"/>
  <c r="AJ21" i="3"/>
  <c r="BL21" i="3" s="1"/>
  <c r="AK21" i="3"/>
  <c r="BM21" i="3" s="1"/>
  <c r="V21" i="3"/>
  <c r="AX21" i="3" s="1"/>
  <c r="U21" i="3"/>
  <c r="AW21" i="3" s="1"/>
  <c r="AG26" i="3"/>
  <c r="BI26" i="3" s="1"/>
  <c r="Y26" i="3"/>
  <c r="BA26" i="3" s="1"/>
  <c r="Q26" i="3"/>
  <c r="AS26" i="3" s="1"/>
  <c r="AH26" i="3"/>
  <c r="BJ26" i="3" s="1"/>
  <c r="Z26" i="3"/>
  <c r="BB26" i="3" s="1"/>
  <c r="R26" i="3"/>
  <c r="AT26" i="3" s="1"/>
  <c r="AJ26" i="3"/>
  <c r="BL26" i="3" s="1"/>
  <c r="AB26" i="3"/>
  <c r="BD26" i="3" s="1"/>
  <c r="T26" i="3"/>
  <c r="AV26" i="3" s="1"/>
  <c r="AK26" i="3"/>
  <c r="BM26" i="3" s="1"/>
  <c r="AF26" i="3"/>
  <c r="BH26" i="3" s="1"/>
  <c r="N26" i="3"/>
  <c r="AP26" i="3" s="1"/>
  <c r="W26" i="3"/>
  <c r="AY26" i="3" s="1"/>
  <c r="AE26" i="3"/>
  <c r="BG26" i="3" s="1"/>
  <c r="S26" i="3"/>
  <c r="AU26" i="3" s="1"/>
  <c r="M26" i="3"/>
  <c r="AO26" i="3" s="1"/>
  <c r="AD26" i="3"/>
  <c r="BF26" i="3" s="1"/>
  <c r="X26" i="3"/>
  <c r="AZ26" i="3" s="1"/>
  <c r="AI26" i="3"/>
  <c r="BK26" i="3" s="1"/>
  <c r="AC26" i="3"/>
  <c r="BE26" i="3" s="1"/>
  <c r="V26" i="3"/>
  <c r="AX26" i="3" s="1"/>
  <c r="AM26" i="3"/>
  <c r="BO26" i="3" s="1"/>
  <c r="AA26" i="3"/>
  <c r="BC26" i="3" s="1"/>
  <c r="U26" i="3"/>
  <c r="AW26" i="3" s="1"/>
  <c r="P26" i="3"/>
  <c r="AR26" i="3" s="1"/>
  <c r="O26" i="3"/>
  <c r="AQ26" i="3" s="1"/>
  <c r="AL26" i="3"/>
  <c r="BN26" i="3" s="1"/>
  <c r="AI32" i="3"/>
  <c r="BK32" i="3" s="1"/>
  <c r="AA32" i="3"/>
  <c r="BC32" i="3" s="1"/>
  <c r="S32" i="3"/>
  <c r="AU32" i="3" s="1"/>
  <c r="AJ32" i="3"/>
  <c r="BL32" i="3" s="1"/>
  <c r="AB32" i="3"/>
  <c r="BD32" i="3" s="1"/>
  <c r="T32" i="3"/>
  <c r="AV32" i="3" s="1"/>
  <c r="AL32" i="3"/>
  <c r="BN32" i="3" s="1"/>
  <c r="AD32" i="3"/>
  <c r="BF32" i="3" s="1"/>
  <c r="V32" i="3"/>
  <c r="AX32" i="3" s="1"/>
  <c r="N32" i="3"/>
  <c r="AP32" i="3" s="1"/>
  <c r="Q32" i="3"/>
  <c r="AS32" i="3" s="1"/>
  <c r="AG32" i="3"/>
  <c r="BI32" i="3" s="1"/>
  <c r="U32" i="3"/>
  <c r="AW32" i="3" s="1"/>
  <c r="AK32" i="3"/>
  <c r="BM32" i="3" s="1"/>
  <c r="AE32" i="3"/>
  <c r="BG32" i="3" s="1"/>
  <c r="Y32" i="3"/>
  <c r="BA32" i="3" s="1"/>
  <c r="AM32" i="3"/>
  <c r="BO32" i="3" s="1"/>
  <c r="AH32" i="3"/>
  <c r="BJ32" i="3" s="1"/>
  <c r="P32" i="3"/>
  <c r="AR32" i="3" s="1"/>
  <c r="O32" i="3"/>
  <c r="AQ32" i="3" s="1"/>
  <c r="Z32" i="3"/>
  <c r="BB32" i="3" s="1"/>
  <c r="AF32" i="3"/>
  <c r="BH32" i="3" s="1"/>
  <c r="X32" i="3"/>
  <c r="AZ32" i="3" s="1"/>
  <c r="R32" i="3"/>
  <c r="AT32" i="3" s="1"/>
  <c r="M32" i="3"/>
  <c r="AO32" i="3" s="1"/>
  <c r="W32" i="3"/>
  <c r="AY32" i="3" s="1"/>
  <c r="AC32" i="3"/>
  <c r="BE32" i="3" s="1"/>
  <c r="AL46" i="3"/>
  <c r="BN46" i="3" s="1"/>
  <c r="AK46" i="3"/>
  <c r="BM46" i="3" s="1"/>
  <c r="Z46" i="3"/>
  <c r="BB46" i="3" s="1"/>
  <c r="R46" i="3"/>
  <c r="AT46" i="3" s="1"/>
  <c r="AM46" i="3"/>
  <c r="BO46" i="3" s="1"/>
  <c r="AH46" i="3"/>
  <c r="BJ46" i="3" s="1"/>
  <c r="Q46" i="3"/>
  <c r="AS46" i="3" s="1"/>
  <c r="AI46" i="3"/>
  <c r="BK46" i="3" s="1"/>
  <c r="AG46" i="3"/>
  <c r="BI46" i="3" s="1"/>
  <c r="AE46" i="3"/>
  <c r="BG46" i="3" s="1"/>
  <c r="W46" i="3"/>
  <c r="AY46" i="3" s="1"/>
  <c r="O46" i="3"/>
  <c r="AQ46" i="3" s="1"/>
  <c r="AD46" i="3"/>
  <c r="BF46" i="3" s="1"/>
  <c r="AF46" i="3"/>
  <c r="BH46" i="3" s="1"/>
  <c r="AA46" i="3"/>
  <c r="BC46" i="3" s="1"/>
  <c r="AB46" i="3"/>
  <c r="BD46" i="3" s="1"/>
  <c r="V46" i="3"/>
  <c r="AX46" i="3" s="1"/>
  <c r="N46" i="3"/>
  <c r="AP46" i="3" s="1"/>
  <c r="T46" i="3"/>
  <c r="AV46" i="3" s="1"/>
  <c r="S46" i="3"/>
  <c r="AU46" i="3" s="1"/>
  <c r="AC46" i="3"/>
  <c r="BE46" i="3" s="1"/>
  <c r="U46" i="3"/>
  <c r="AW46" i="3" s="1"/>
  <c r="M46" i="3"/>
  <c r="AO46" i="3" s="1"/>
  <c r="AL94" i="3"/>
  <c r="BN94" i="3" s="1"/>
  <c r="AH94" i="3"/>
  <c r="BJ94" i="3" s="1"/>
  <c r="AD94" i="3"/>
  <c r="BF94" i="3" s="1"/>
  <c r="Z94" i="3"/>
  <c r="BB94" i="3" s="1"/>
  <c r="AK94" i="3"/>
  <c r="BM94" i="3" s="1"/>
  <c r="AG94" i="3"/>
  <c r="BI94" i="3" s="1"/>
  <c r="AC94" i="3"/>
  <c r="BE94" i="3" s="1"/>
  <c r="Y94" i="3"/>
  <c r="BA94" i="3" s="1"/>
  <c r="AM94" i="3"/>
  <c r="BO94" i="3" s="1"/>
  <c r="AI94" i="3"/>
  <c r="BK94" i="3" s="1"/>
  <c r="AE94" i="3"/>
  <c r="BG94" i="3" s="1"/>
  <c r="AA94" i="3"/>
  <c r="BC94" i="3" s="1"/>
  <c r="X94" i="3"/>
  <c r="AZ94" i="3" s="1"/>
  <c r="T94" i="3"/>
  <c r="AV94" i="3" s="1"/>
  <c r="AJ94" i="3"/>
  <c r="BL94" i="3" s="1"/>
  <c r="AB94" i="3"/>
  <c r="BD94" i="3" s="1"/>
  <c r="W94" i="3"/>
  <c r="AY94" i="3" s="1"/>
  <c r="S94" i="3"/>
  <c r="AU94" i="3" s="1"/>
  <c r="V94" i="3"/>
  <c r="AX94" i="3" s="1"/>
  <c r="R94" i="3"/>
  <c r="AT94" i="3" s="1"/>
  <c r="AF94" i="3"/>
  <c r="BH94" i="3" s="1"/>
  <c r="U94" i="3"/>
  <c r="AW94" i="3" s="1"/>
  <c r="Q94" i="3"/>
  <c r="AS94" i="3" s="1"/>
  <c r="N94" i="3"/>
  <c r="AP94" i="3" s="1"/>
  <c r="M94" i="3"/>
  <c r="AO94" i="3" s="1"/>
  <c r="P94" i="3"/>
  <c r="AR94" i="3" s="1"/>
  <c r="O94" i="3"/>
  <c r="AQ94" i="3" s="1"/>
  <c r="AJ60" i="3"/>
  <c r="BL60" i="3" s="1"/>
  <c r="AI60" i="3"/>
  <c r="BK60" i="3" s="1"/>
  <c r="AH60" i="3"/>
  <c r="BJ60" i="3" s="1"/>
  <c r="AM60" i="3"/>
  <c r="BO60" i="3" s="1"/>
  <c r="X60" i="3"/>
  <c r="AZ60" i="3" s="1"/>
  <c r="P60" i="3"/>
  <c r="AR60" i="3" s="1"/>
  <c r="V60" i="3"/>
  <c r="AX60" i="3" s="1"/>
  <c r="AK60" i="3"/>
  <c r="BM60" i="3" s="1"/>
  <c r="AF60" i="3"/>
  <c r="BH60" i="3" s="1"/>
  <c r="AE60" i="3"/>
  <c r="BG60" i="3" s="1"/>
  <c r="W60" i="3"/>
  <c r="AY60" i="3" s="1"/>
  <c r="O60" i="3"/>
  <c r="AQ60" i="3" s="1"/>
  <c r="N60" i="3"/>
  <c r="AP60" i="3" s="1"/>
  <c r="AD60" i="3"/>
  <c r="BF60" i="3" s="1"/>
  <c r="AC60" i="3"/>
  <c r="BE60" i="3" s="1"/>
  <c r="U60" i="3"/>
  <c r="AW60" i="3" s="1"/>
  <c r="M60" i="3"/>
  <c r="AO60" i="3" s="1"/>
  <c r="AB60" i="3"/>
  <c r="BD60" i="3" s="1"/>
  <c r="AL60" i="3"/>
  <c r="BN60" i="3" s="1"/>
  <c r="T60" i="3"/>
  <c r="AV60" i="3" s="1"/>
  <c r="AA60" i="3"/>
  <c r="BC60" i="3" s="1"/>
  <c r="S60" i="3"/>
  <c r="AU60" i="3" s="1"/>
  <c r="AG60" i="3"/>
  <c r="BI60" i="3" s="1"/>
  <c r="Y60" i="3"/>
  <c r="BA60" i="3" s="1"/>
  <c r="Q60" i="3"/>
  <c r="AS60" i="3" s="1"/>
  <c r="Z60" i="3"/>
  <c r="BB60" i="3" s="1"/>
  <c r="R60" i="3"/>
  <c r="AT60" i="3" s="1"/>
  <c r="AM28" i="3"/>
  <c r="BO28" i="3" s="1"/>
  <c r="AE28" i="3"/>
  <c r="BG28" i="3" s="1"/>
  <c r="W28" i="3"/>
  <c r="AY28" i="3" s="1"/>
  <c r="O28" i="3"/>
  <c r="AQ28" i="3" s="1"/>
  <c r="AF28" i="3"/>
  <c r="BH28" i="3" s="1"/>
  <c r="X28" i="3"/>
  <c r="AZ28" i="3" s="1"/>
  <c r="P28" i="3"/>
  <c r="AR28" i="3" s="1"/>
  <c r="AH28" i="3"/>
  <c r="BJ28" i="3" s="1"/>
  <c r="Z28" i="3"/>
  <c r="BB28" i="3" s="1"/>
  <c r="R28" i="3"/>
  <c r="AT28" i="3" s="1"/>
  <c r="U28" i="3"/>
  <c r="AW28" i="3" s="1"/>
  <c r="AK28" i="3"/>
  <c r="BM28" i="3" s="1"/>
  <c r="S28" i="3"/>
  <c r="AU28" i="3" s="1"/>
  <c r="AL28" i="3"/>
  <c r="BN28" i="3" s="1"/>
  <c r="T28" i="3"/>
  <c r="AV28" i="3" s="1"/>
  <c r="Y28" i="3"/>
  <c r="BA28" i="3" s="1"/>
  <c r="N28" i="3"/>
  <c r="AP28" i="3" s="1"/>
  <c r="M28" i="3"/>
  <c r="AO28" i="3" s="1"/>
  <c r="AD28" i="3"/>
  <c r="BF28" i="3" s="1"/>
  <c r="AI28" i="3"/>
  <c r="BK28" i="3" s="1"/>
  <c r="AJ28" i="3"/>
  <c r="BL28" i="3" s="1"/>
  <c r="AC28" i="3"/>
  <c r="BE28" i="3" s="1"/>
  <c r="AB28" i="3"/>
  <c r="BD28" i="3" s="1"/>
  <c r="AA28" i="3"/>
  <c r="BC28" i="3" s="1"/>
  <c r="AG28" i="3"/>
  <c r="BI28" i="3" s="1"/>
  <c r="Q28" i="3"/>
  <c r="AS28" i="3" s="1"/>
  <c r="V28" i="3"/>
  <c r="AX28" i="3" s="1"/>
  <c r="AM123" i="3"/>
  <c r="BO123" i="3" s="1"/>
  <c r="AL123" i="3"/>
  <c r="BN123" i="3" s="1"/>
  <c r="AK123" i="3"/>
  <c r="BM123" i="3" s="1"/>
  <c r="AJ123" i="3"/>
  <c r="BL123" i="3" s="1"/>
  <c r="AI123" i="3"/>
  <c r="BK123" i="3" s="1"/>
  <c r="AH123" i="3"/>
  <c r="BJ123" i="3" s="1"/>
  <c r="AG123" i="3"/>
  <c r="BI123" i="3" s="1"/>
  <c r="AF123" i="3"/>
  <c r="BH123" i="3" s="1"/>
  <c r="AE123" i="3"/>
  <c r="BG123" i="3" s="1"/>
  <c r="AD123" i="3"/>
  <c r="BF123" i="3" s="1"/>
  <c r="AC123" i="3"/>
  <c r="BE123" i="3" s="1"/>
  <c r="AB123" i="3"/>
  <c r="BD123" i="3" s="1"/>
  <c r="AA123" i="3"/>
  <c r="BC123" i="3" s="1"/>
  <c r="Z123" i="3"/>
  <c r="BB123" i="3" s="1"/>
  <c r="Y123" i="3"/>
  <c r="BA123" i="3" s="1"/>
  <c r="X123" i="3"/>
  <c r="AZ123" i="3" s="1"/>
  <c r="W123" i="3"/>
  <c r="AY123" i="3" s="1"/>
  <c r="V123" i="3"/>
  <c r="AX123" i="3" s="1"/>
  <c r="U123" i="3"/>
  <c r="AW123" i="3" s="1"/>
  <c r="T123" i="3"/>
  <c r="AV123" i="3" s="1"/>
  <c r="S123" i="3"/>
  <c r="AU123" i="3" s="1"/>
  <c r="R123" i="3"/>
  <c r="AT123" i="3" s="1"/>
  <c r="Q123" i="3"/>
  <c r="AS123" i="3" s="1"/>
  <c r="P123" i="3"/>
  <c r="AR123" i="3" s="1"/>
  <c r="O123" i="3"/>
  <c r="AQ123" i="3" s="1"/>
  <c r="N123" i="3"/>
  <c r="AP123" i="3" s="1"/>
  <c r="M123" i="3"/>
  <c r="AO123" i="3" s="1"/>
  <c r="AJ23" i="3"/>
  <c r="BL23" i="3" s="1"/>
  <c r="AB23" i="3"/>
  <c r="BD23" i="3" s="1"/>
  <c r="T23" i="3"/>
  <c r="AV23" i="3" s="1"/>
  <c r="AK23" i="3"/>
  <c r="BM23" i="3" s="1"/>
  <c r="AC23" i="3"/>
  <c r="BE23" i="3" s="1"/>
  <c r="U23" i="3"/>
  <c r="AW23" i="3" s="1"/>
  <c r="M23" i="3"/>
  <c r="AO23" i="3" s="1"/>
  <c r="AM23" i="3"/>
  <c r="BO23" i="3" s="1"/>
  <c r="AE23" i="3"/>
  <c r="BG23" i="3" s="1"/>
  <c r="W23" i="3"/>
  <c r="AY23" i="3" s="1"/>
  <c r="O23" i="3"/>
  <c r="AQ23" i="3" s="1"/>
  <c r="AD23" i="3"/>
  <c r="BF23" i="3" s="1"/>
  <c r="X23" i="3"/>
  <c r="AZ23" i="3" s="1"/>
  <c r="S23" i="3"/>
  <c r="AU23" i="3" s="1"/>
  <c r="P23" i="3"/>
  <c r="AR23" i="3" s="1"/>
  <c r="R23" i="3"/>
  <c r="AT23" i="3" s="1"/>
  <c r="AI23" i="3"/>
  <c r="BK23" i="3" s="1"/>
  <c r="Q23" i="3"/>
  <c r="AS23" i="3" s="1"/>
  <c r="V23" i="3"/>
  <c r="AX23" i="3" s="1"/>
  <c r="AG23" i="3"/>
  <c r="BI23" i="3" s="1"/>
  <c r="AA23" i="3"/>
  <c r="BC23" i="3" s="1"/>
  <c r="AH23" i="3"/>
  <c r="BJ23" i="3" s="1"/>
  <c r="AL23" i="3"/>
  <c r="BN23" i="3" s="1"/>
  <c r="AF23" i="3"/>
  <c r="BH23" i="3" s="1"/>
  <c r="Z23" i="3"/>
  <c r="BB23" i="3" s="1"/>
  <c r="Y23" i="3"/>
  <c r="BA23" i="3" s="1"/>
  <c r="N23" i="3"/>
  <c r="AP23" i="3" s="1"/>
  <c r="AF41" i="3"/>
  <c r="BH41" i="3" s="1"/>
  <c r="AM41" i="3"/>
  <c r="BO41" i="3" s="1"/>
  <c r="AJ41" i="3"/>
  <c r="BL41" i="3" s="1"/>
  <c r="AI41" i="3"/>
  <c r="BK41" i="3" s="1"/>
  <c r="AC41" i="3"/>
  <c r="BE41" i="3" s="1"/>
  <c r="U41" i="3"/>
  <c r="AW41" i="3" s="1"/>
  <c r="M41" i="3"/>
  <c r="AO41" i="3" s="1"/>
  <c r="S41" i="3"/>
  <c r="AU41" i="3" s="1"/>
  <c r="AL41" i="3"/>
  <c r="BN41" i="3" s="1"/>
  <c r="AB41" i="3"/>
  <c r="BD41" i="3" s="1"/>
  <c r="T41" i="3"/>
  <c r="AV41" i="3" s="1"/>
  <c r="AA41" i="3"/>
  <c r="BC41" i="3" s="1"/>
  <c r="Z41" i="3"/>
  <c r="BB41" i="3" s="1"/>
  <c r="R41" i="3"/>
  <c r="AT41" i="3" s="1"/>
  <c r="Y41" i="3"/>
  <c r="BA41" i="3" s="1"/>
  <c r="V41" i="3"/>
  <c r="AX41" i="3" s="1"/>
  <c r="Q41" i="3"/>
  <c r="AS41" i="3" s="1"/>
  <c r="N41" i="3"/>
  <c r="AP41" i="3" s="1"/>
  <c r="X41" i="3"/>
  <c r="AZ41" i="3" s="1"/>
  <c r="P41" i="3"/>
  <c r="AR41" i="3" s="1"/>
  <c r="W41" i="3"/>
  <c r="AY41" i="3" s="1"/>
  <c r="O41" i="3"/>
  <c r="AQ41" i="3" s="1"/>
  <c r="AD41" i="3"/>
  <c r="BF41" i="3" s="1"/>
  <c r="AK41" i="3"/>
  <c r="BM41" i="3" s="1"/>
  <c r="AE41" i="3"/>
  <c r="BG41" i="3" s="1"/>
  <c r="AH41" i="3"/>
  <c r="BJ41" i="3" s="1"/>
  <c r="AG41" i="3"/>
  <c r="BI41" i="3" s="1"/>
  <c r="AK124" i="3"/>
  <c r="BM124" i="3" s="1"/>
  <c r="AG124" i="3"/>
  <c r="BI124" i="3" s="1"/>
  <c r="AC124" i="3"/>
  <c r="BE124" i="3" s="1"/>
  <c r="Y124" i="3"/>
  <c r="BA124" i="3" s="1"/>
  <c r="U124" i="3"/>
  <c r="AW124" i="3" s="1"/>
  <c r="T124" i="3"/>
  <c r="AV124" i="3" s="1"/>
  <c r="S124" i="3"/>
  <c r="AU124" i="3" s="1"/>
  <c r="R124" i="3"/>
  <c r="AT124" i="3" s="1"/>
  <c r="Q124" i="3"/>
  <c r="AS124" i="3" s="1"/>
  <c r="P124" i="3"/>
  <c r="AR124" i="3" s="1"/>
  <c r="O124" i="3"/>
  <c r="AQ124" i="3" s="1"/>
  <c r="N124" i="3"/>
  <c r="AP124" i="3" s="1"/>
  <c r="M124" i="3"/>
  <c r="AO124" i="3" s="1"/>
  <c r="AL124" i="3"/>
  <c r="BN124" i="3" s="1"/>
  <c r="AH124" i="3"/>
  <c r="BJ124" i="3" s="1"/>
  <c r="AD124" i="3"/>
  <c r="BF124" i="3" s="1"/>
  <c r="Z124" i="3"/>
  <c r="BB124" i="3" s="1"/>
  <c r="V124" i="3"/>
  <c r="AX124" i="3" s="1"/>
  <c r="AM124" i="3"/>
  <c r="BO124" i="3" s="1"/>
  <c r="AI124" i="3"/>
  <c r="BK124" i="3" s="1"/>
  <c r="AE124" i="3"/>
  <c r="BG124" i="3" s="1"/>
  <c r="AA124" i="3"/>
  <c r="BC124" i="3" s="1"/>
  <c r="W124" i="3"/>
  <c r="AY124" i="3" s="1"/>
  <c r="X124" i="3"/>
  <c r="AZ124" i="3" s="1"/>
  <c r="AJ124" i="3"/>
  <c r="BL124" i="3" s="1"/>
  <c r="AF124" i="3"/>
  <c r="BH124" i="3" s="1"/>
  <c r="AB124" i="3"/>
  <c r="BD124" i="3" s="1"/>
  <c r="AH25" i="3"/>
  <c r="BJ25" i="3" s="1"/>
  <c r="Z25" i="3"/>
  <c r="BB25" i="3" s="1"/>
  <c r="R25" i="3"/>
  <c r="AT25" i="3" s="1"/>
  <c r="AI25" i="3"/>
  <c r="BK25" i="3" s="1"/>
  <c r="AA25" i="3"/>
  <c r="BC25" i="3" s="1"/>
  <c r="S25" i="3"/>
  <c r="AU25" i="3" s="1"/>
  <c r="AK25" i="3"/>
  <c r="BM25" i="3" s="1"/>
  <c r="AC25" i="3"/>
  <c r="BE25" i="3" s="1"/>
  <c r="U25" i="3"/>
  <c r="AW25" i="3" s="1"/>
  <c r="M25" i="3"/>
  <c r="AO25" i="3" s="1"/>
  <c r="AE25" i="3"/>
  <c r="BG25" i="3" s="1"/>
  <c r="X25" i="3"/>
  <c r="AZ25" i="3" s="1"/>
  <c r="AM25" i="3"/>
  <c r="BO25" i="3" s="1"/>
  <c r="AJ25" i="3"/>
  <c r="BL25" i="3" s="1"/>
  <c r="AD25" i="3"/>
  <c r="BF25" i="3" s="1"/>
  <c r="Y25" i="3"/>
  <c r="BA25" i="3" s="1"/>
  <c r="V25" i="3"/>
  <c r="AX25" i="3" s="1"/>
  <c r="AB25" i="3"/>
  <c r="BD25" i="3" s="1"/>
  <c r="Q25" i="3"/>
  <c r="AS25" i="3" s="1"/>
  <c r="W25" i="3"/>
  <c r="AY25" i="3" s="1"/>
  <c r="AL25" i="3"/>
  <c r="BN25" i="3" s="1"/>
  <c r="AG25" i="3"/>
  <c r="BI25" i="3" s="1"/>
  <c r="P25" i="3"/>
  <c r="AR25" i="3" s="1"/>
  <c r="AF25" i="3"/>
  <c r="BH25" i="3" s="1"/>
  <c r="T25" i="3"/>
  <c r="AV25" i="3" s="1"/>
  <c r="O25" i="3"/>
  <c r="AQ25" i="3" s="1"/>
  <c r="N25" i="3"/>
  <c r="AP25" i="3" s="1"/>
  <c r="AM36" i="3"/>
  <c r="BO36" i="3" s="1"/>
  <c r="AE36" i="3"/>
  <c r="BG36" i="3" s="1"/>
  <c r="W36" i="3"/>
  <c r="AY36" i="3" s="1"/>
  <c r="O36" i="3"/>
  <c r="AQ36" i="3" s="1"/>
  <c r="AF36" i="3"/>
  <c r="BH36" i="3" s="1"/>
  <c r="X36" i="3"/>
  <c r="AZ36" i="3" s="1"/>
  <c r="P36" i="3"/>
  <c r="AR36" i="3" s="1"/>
  <c r="AH36" i="3"/>
  <c r="BJ36" i="3" s="1"/>
  <c r="Z36" i="3"/>
  <c r="BB36" i="3" s="1"/>
  <c r="R36" i="3"/>
  <c r="AT36" i="3" s="1"/>
  <c r="AJ36" i="3"/>
  <c r="BL36" i="3" s="1"/>
  <c r="M36" i="3"/>
  <c r="AO36" i="3" s="1"/>
  <c r="V36" i="3"/>
  <c r="AX36" i="3" s="1"/>
  <c r="AI36" i="3"/>
  <c r="BK36" i="3" s="1"/>
  <c r="AD36" i="3"/>
  <c r="BF36" i="3" s="1"/>
  <c r="AC36" i="3"/>
  <c r="BE36" i="3" s="1"/>
  <c r="Q36" i="3"/>
  <c r="AS36" i="3" s="1"/>
  <c r="AB36" i="3"/>
  <c r="BD36" i="3" s="1"/>
  <c r="AA36" i="3"/>
  <c r="BC36" i="3" s="1"/>
  <c r="AG36" i="3"/>
  <c r="BI36" i="3" s="1"/>
  <c r="U36" i="3"/>
  <c r="AW36" i="3" s="1"/>
  <c r="AL36" i="3"/>
  <c r="BN36" i="3" s="1"/>
  <c r="S36" i="3"/>
  <c r="AU36" i="3" s="1"/>
  <c r="N36" i="3"/>
  <c r="AP36" i="3" s="1"/>
  <c r="T36" i="3"/>
  <c r="AV36" i="3" s="1"/>
  <c r="Y36" i="3"/>
  <c r="BA36" i="3" s="1"/>
  <c r="AK36" i="3"/>
  <c r="BM36" i="3" s="1"/>
  <c r="AM110" i="3"/>
  <c r="BO110" i="3" s="1"/>
  <c r="AI110" i="3"/>
  <c r="BK110" i="3" s="1"/>
  <c r="AE110" i="3"/>
  <c r="BG110" i="3" s="1"/>
  <c r="AA110" i="3"/>
  <c r="BC110" i="3" s="1"/>
  <c r="W110" i="3"/>
  <c r="AY110" i="3" s="1"/>
  <c r="N110" i="3"/>
  <c r="AP110" i="3" s="1"/>
  <c r="M110" i="3"/>
  <c r="AO110" i="3" s="1"/>
  <c r="AJ110" i="3"/>
  <c r="BL110" i="3" s="1"/>
  <c r="AF110" i="3"/>
  <c r="BH110" i="3" s="1"/>
  <c r="AB110" i="3"/>
  <c r="BD110" i="3" s="1"/>
  <c r="X110" i="3"/>
  <c r="AZ110" i="3" s="1"/>
  <c r="O110" i="3"/>
  <c r="AQ110" i="3" s="1"/>
  <c r="T110" i="3"/>
  <c r="AV110" i="3" s="1"/>
  <c r="S110" i="3"/>
  <c r="AU110" i="3" s="1"/>
  <c r="R110" i="3"/>
  <c r="AT110" i="3" s="1"/>
  <c r="Q110" i="3"/>
  <c r="AS110" i="3" s="1"/>
  <c r="P110" i="3"/>
  <c r="AR110" i="3" s="1"/>
  <c r="AK110" i="3"/>
  <c r="BM110" i="3" s="1"/>
  <c r="AG110" i="3"/>
  <c r="BI110" i="3" s="1"/>
  <c r="AC110" i="3"/>
  <c r="BE110" i="3" s="1"/>
  <c r="Y110" i="3"/>
  <c r="BA110" i="3" s="1"/>
  <c r="U110" i="3"/>
  <c r="AW110" i="3" s="1"/>
  <c r="Z110" i="3"/>
  <c r="BB110" i="3" s="1"/>
  <c r="V110" i="3"/>
  <c r="AX110" i="3" s="1"/>
  <c r="AH110" i="3"/>
  <c r="BJ110" i="3" s="1"/>
  <c r="AD110" i="3"/>
  <c r="BF110" i="3" s="1"/>
  <c r="AL110" i="3"/>
  <c r="BN110" i="3" s="1"/>
  <c r="O38" i="3"/>
  <c r="AQ38" i="3" s="1"/>
  <c r="W38" i="3"/>
  <c r="AY38" i="3" s="1"/>
  <c r="AE38" i="3"/>
  <c r="BG38" i="3" s="1"/>
  <c r="AM38" i="3"/>
  <c r="BO38" i="3" s="1"/>
  <c r="P38" i="3"/>
  <c r="AR38" i="3" s="1"/>
  <c r="X38" i="3"/>
  <c r="AZ38" i="3" s="1"/>
  <c r="AF38" i="3"/>
  <c r="BH38" i="3" s="1"/>
  <c r="M38" i="3"/>
  <c r="R38" i="3"/>
  <c r="AT38" i="3" s="1"/>
  <c r="Z38" i="3"/>
  <c r="BB38" i="3" s="1"/>
  <c r="AH38" i="3"/>
  <c r="BJ38" i="3" s="1"/>
  <c r="V38" i="3"/>
  <c r="AX38" i="3" s="1"/>
  <c r="AJ38" i="3"/>
  <c r="BL38" i="3" s="1"/>
  <c r="AC38" i="3"/>
  <c r="BE38" i="3" s="1"/>
  <c r="S38" i="3"/>
  <c r="AU38" i="3" s="1"/>
  <c r="Y38" i="3"/>
  <c r="BA38" i="3" s="1"/>
  <c r="AK38" i="3"/>
  <c r="BM38" i="3" s="1"/>
  <c r="AA38" i="3"/>
  <c r="BC38" i="3" s="1"/>
  <c r="AL38" i="3"/>
  <c r="BN38" i="3" s="1"/>
  <c r="Q38" i="3"/>
  <c r="AS38" i="3" s="1"/>
  <c r="N38" i="3"/>
  <c r="AP38" i="3" s="1"/>
  <c r="AB38" i="3"/>
  <c r="BD38" i="3" s="1"/>
  <c r="AD38" i="3"/>
  <c r="BF38" i="3" s="1"/>
  <c r="T38" i="3"/>
  <c r="AV38" i="3" s="1"/>
  <c r="AG38" i="3"/>
  <c r="BI38" i="3" s="1"/>
  <c r="U38" i="3"/>
  <c r="AW38" i="3" s="1"/>
  <c r="AI38" i="3"/>
  <c r="BK38" i="3" s="1"/>
  <c r="AJ44" i="3"/>
  <c r="BL44" i="3" s="1"/>
  <c r="AI44" i="3"/>
  <c r="BK44" i="3" s="1"/>
  <c r="AH44" i="3"/>
  <c r="BJ44" i="3" s="1"/>
  <c r="AM44" i="3"/>
  <c r="BO44" i="3" s="1"/>
  <c r="AG44" i="3"/>
  <c r="BI44" i="3" s="1"/>
  <c r="X44" i="3"/>
  <c r="AZ44" i="3" s="1"/>
  <c r="P44" i="3"/>
  <c r="AR44" i="3" s="1"/>
  <c r="V44" i="3"/>
  <c r="AX44" i="3" s="1"/>
  <c r="AK44" i="3"/>
  <c r="BM44" i="3" s="1"/>
  <c r="AE44" i="3"/>
  <c r="BG44" i="3" s="1"/>
  <c r="W44" i="3"/>
  <c r="AY44" i="3" s="1"/>
  <c r="O44" i="3"/>
  <c r="AQ44" i="3" s="1"/>
  <c r="N44" i="3"/>
  <c r="AP44" i="3" s="1"/>
  <c r="AD44" i="3"/>
  <c r="BF44" i="3" s="1"/>
  <c r="AL44" i="3"/>
  <c r="BN44" i="3" s="1"/>
  <c r="AC44" i="3"/>
  <c r="BE44" i="3" s="1"/>
  <c r="U44" i="3"/>
  <c r="AW44" i="3" s="1"/>
  <c r="M44" i="3"/>
  <c r="AO44" i="3" s="1"/>
  <c r="AB44" i="3"/>
  <c r="BD44" i="3" s="1"/>
  <c r="AF44" i="3"/>
  <c r="BH44" i="3" s="1"/>
  <c r="S44" i="3"/>
  <c r="AU44" i="3" s="1"/>
  <c r="AA44" i="3"/>
  <c r="BC44" i="3" s="1"/>
  <c r="Y44" i="3"/>
  <c r="BA44" i="3" s="1"/>
  <c r="T44" i="3"/>
  <c r="AV44" i="3" s="1"/>
  <c r="Q44" i="3"/>
  <c r="AS44" i="3" s="1"/>
  <c r="Z44" i="3"/>
  <c r="BB44" i="3" s="1"/>
  <c r="R44" i="3"/>
  <c r="AT44" i="3" s="1"/>
  <c r="AK45" i="3"/>
  <c r="BM45" i="3" s="1"/>
  <c r="AJ45" i="3"/>
  <c r="BL45" i="3" s="1"/>
  <c r="AI45" i="3"/>
  <c r="BK45" i="3" s="1"/>
  <c r="AM45" i="3"/>
  <c r="BO45" i="3" s="1"/>
  <c r="AH45" i="3"/>
  <c r="BJ45" i="3" s="1"/>
  <c r="Y45" i="3"/>
  <c r="BA45" i="3" s="1"/>
  <c r="Q45" i="3"/>
  <c r="AS45" i="3" s="1"/>
  <c r="O45" i="3"/>
  <c r="AQ45" i="3" s="1"/>
  <c r="AG45" i="3"/>
  <c r="BI45" i="3" s="1"/>
  <c r="X45" i="3"/>
  <c r="AZ45" i="3" s="1"/>
  <c r="P45" i="3"/>
  <c r="AR45" i="3" s="1"/>
  <c r="W45" i="3"/>
  <c r="AY45" i="3" s="1"/>
  <c r="AE45" i="3"/>
  <c r="BG45" i="3" s="1"/>
  <c r="AD45" i="3"/>
  <c r="BF45" i="3" s="1"/>
  <c r="V45" i="3"/>
  <c r="AX45" i="3" s="1"/>
  <c r="N45" i="3"/>
  <c r="AP45" i="3" s="1"/>
  <c r="AC45" i="3"/>
  <c r="BE45" i="3" s="1"/>
  <c r="AL45" i="3"/>
  <c r="BN45" i="3" s="1"/>
  <c r="AB45" i="3"/>
  <c r="BD45" i="3" s="1"/>
  <c r="S45" i="3"/>
  <c r="AU45" i="3" s="1"/>
  <c r="T45" i="3"/>
  <c r="AV45" i="3" s="1"/>
  <c r="AA45" i="3"/>
  <c r="BC45" i="3" s="1"/>
  <c r="U45" i="3"/>
  <c r="AW45" i="3" s="1"/>
  <c r="M45" i="3"/>
  <c r="AO45" i="3" s="1"/>
  <c r="AF45" i="3"/>
  <c r="BH45" i="3" s="1"/>
  <c r="R45" i="3"/>
  <c r="AT45" i="3" s="1"/>
  <c r="Z45" i="3"/>
  <c r="BB45" i="3" s="1"/>
  <c r="AM40" i="3"/>
  <c r="BO40" i="3" s="1"/>
  <c r="AE40" i="3"/>
  <c r="BG40" i="3" s="1"/>
  <c r="AL40" i="3"/>
  <c r="BN40" i="3" s="1"/>
  <c r="AI40" i="3"/>
  <c r="BK40" i="3" s="1"/>
  <c r="AB40" i="3"/>
  <c r="BD40" i="3" s="1"/>
  <c r="T40" i="3"/>
  <c r="AV40" i="3" s="1"/>
  <c r="R40" i="3"/>
  <c r="AT40" i="3" s="1"/>
  <c r="AA40" i="3"/>
  <c r="BC40" i="3" s="1"/>
  <c r="S40" i="3"/>
  <c r="AU40" i="3" s="1"/>
  <c r="AF40" i="3"/>
  <c r="BH40" i="3" s="1"/>
  <c r="Z40" i="3"/>
  <c r="BB40" i="3" s="1"/>
  <c r="AJ40" i="3"/>
  <c r="BL40" i="3" s="1"/>
  <c r="Y40" i="3"/>
  <c r="BA40" i="3" s="1"/>
  <c r="Q40" i="3"/>
  <c r="AS40" i="3" s="1"/>
  <c r="X40" i="3"/>
  <c r="AZ40" i="3" s="1"/>
  <c r="U40" i="3"/>
  <c r="AW40" i="3" s="1"/>
  <c r="M40" i="3"/>
  <c r="AO40" i="3" s="1"/>
  <c r="W40" i="3"/>
  <c r="AY40" i="3" s="1"/>
  <c r="O40" i="3"/>
  <c r="AQ40" i="3" s="1"/>
  <c r="AC40" i="3"/>
  <c r="BE40" i="3" s="1"/>
  <c r="AD40" i="3"/>
  <c r="BF40" i="3" s="1"/>
  <c r="P40" i="3"/>
  <c r="AR40" i="3" s="1"/>
  <c r="AK40" i="3"/>
  <c r="BM40" i="3" s="1"/>
  <c r="AH40" i="3"/>
  <c r="BJ40" i="3" s="1"/>
  <c r="AG40" i="3"/>
  <c r="BI40" i="3" s="1"/>
  <c r="N40" i="3"/>
  <c r="AP40" i="3" s="1"/>
  <c r="V40" i="3"/>
  <c r="AX40" i="3" s="1"/>
  <c r="AG34" i="3"/>
  <c r="BI34" i="3" s="1"/>
  <c r="Y34" i="3"/>
  <c r="BA34" i="3" s="1"/>
  <c r="Q34" i="3"/>
  <c r="AS34" i="3" s="1"/>
  <c r="AH34" i="3"/>
  <c r="BJ34" i="3" s="1"/>
  <c r="Z34" i="3"/>
  <c r="BB34" i="3" s="1"/>
  <c r="R34" i="3"/>
  <c r="AT34" i="3" s="1"/>
  <c r="AJ34" i="3"/>
  <c r="BL34" i="3" s="1"/>
  <c r="AB34" i="3"/>
  <c r="BD34" i="3" s="1"/>
  <c r="T34" i="3"/>
  <c r="AV34" i="3" s="1"/>
  <c r="AI34" i="3"/>
  <c r="BK34" i="3" s="1"/>
  <c r="AC34" i="3"/>
  <c r="BE34" i="3" s="1"/>
  <c r="X34" i="3"/>
  <c r="AZ34" i="3" s="1"/>
  <c r="O34" i="3"/>
  <c r="AQ34" i="3" s="1"/>
  <c r="AF34" i="3"/>
  <c r="BH34" i="3" s="1"/>
  <c r="W34" i="3"/>
  <c r="AY34" i="3" s="1"/>
  <c r="V34" i="3"/>
  <c r="AX34" i="3" s="1"/>
  <c r="U34" i="3"/>
  <c r="AW34" i="3" s="1"/>
  <c r="P34" i="3"/>
  <c r="AR34" i="3" s="1"/>
  <c r="AL34" i="3"/>
  <c r="BN34" i="3" s="1"/>
  <c r="AM34" i="3"/>
  <c r="BO34" i="3" s="1"/>
  <c r="AA34" i="3"/>
  <c r="BC34" i="3" s="1"/>
  <c r="AK34" i="3"/>
  <c r="BM34" i="3" s="1"/>
  <c r="AE34" i="3"/>
  <c r="BG34" i="3" s="1"/>
  <c r="N34" i="3"/>
  <c r="AP34" i="3" s="1"/>
  <c r="S34" i="3"/>
  <c r="AU34" i="3" s="1"/>
  <c r="M34" i="3"/>
  <c r="AO34" i="3" s="1"/>
  <c r="AD34" i="3"/>
  <c r="BF34" i="3" s="1"/>
  <c r="AK125" i="3"/>
  <c r="BM125" i="3" s="1"/>
  <c r="AG125" i="3"/>
  <c r="BI125" i="3" s="1"/>
  <c r="AC125" i="3"/>
  <c r="BE125" i="3" s="1"/>
  <c r="Y125" i="3"/>
  <c r="BA125" i="3" s="1"/>
  <c r="N125" i="3"/>
  <c r="AP125" i="3" s="1"/>
  <c r="AM125" i="3"/>
  <c r="BO125" i="3" s="1"/>
  <c r="U125" i="3"/>
  <c r="AW125" i="3" s="1"/>
  <c r="T125" i="3"/>
  <c r="AV125" i="3" s="1"/>
  <c r="S125" i="3"/>
  <c r="AU125" i="3" s="1"/>
  <c r="R125" i="3"/>
  <c r="AT125" i="3" s="1"/>
  <c r="Q125" i="3"/>
  <c r="AS125" i="3" s="1"/>
  <c r="P125" i="3"/>
  <c r="AR125" i="3" s="1"/>
  <c r="O125" i="3"/>
  <c r="AQ125" i="3" s="1"/>
  <c r="M125" i="3"/>
  <c r="AO125" i="3" s="1"/>
  <c r="AL125" i="3"/>
  <c r="BN125" i="3" s="1"/>
  <c r="AH125" i="3"/>
  <c r="BJ125" i="3" s="1"/>
  <c r="AD125" i="3"/>
  <c r="BF125" i="3" s="1"/>
  <c r="Z125" i="3"/>
  <c r="BB125" i="3" s="1"/>
  <c r="V125" i="3"/>
  <c r="AX125" i="3" s="1"/>
  <c r="AA125" i="3"/>
  <c r="BC125" i="3" s="1"/>
  <c r="X125" i="3"/>
  <c r="AZ125" i="3" s="1"/>
  <c r="AF125" i="3"/>
  <c r="BH125" i="3" s="1"/>
  <c r="AJ125" i="3"/>
  <c r="BL125" i="3" s="1"/>
  <c r="W125" i="3"/>
  <c r="AY125" i="3" s="1"/>
  <c r="AE125" i="3"/>
  <c r="BG125" i="3" s="1"/>
  <c r="AB125" i="3"/>
  <c r="BD125" i="3" s="1"/>
  <c r="AI125" i="3"/>
  <c r="BK125" i="3" s="1"/>
  <c r="O25" i="2"/>
  <c r="I24" i="3" s="1"/>
  <c r="L24" i="3" s="1"/>
  <c r="O23" i="2"/>
  <c r="I22" i="3" s="1"/>
  <c r="L22" i="3" s="1"/>
  <c r="I61" i="3"/>
  <c r="L61" i="3" s="1"/>
  <c r="I33" i="3"/>
  <c r="L33" i="3" s="1"/>
  <c r="I30" i="3"/>
  <c r="L30" i="3" s="1"/>
  <c r="O109" i="2"/>
  <c r="I109" i="3" s="1"/>
  <c r="L109" i="3" s="1"/>
  <c r="K111" i="2"/>
  <c r="K104" i="2"/>
  <c r="K98" i="2"/>
  <c r="K129" i="2"/>
  <c r="O129" i="2" s="1"/>
  <c r="I127" i="3"/>
  <c r="L127" i="3" s="1"/>
  <c r="O91" i="2"/>
  <c r="I91" i="3" s="1"/>
  <c r="L91" i="3" s="1"/>
  <c r="K92" i="2"/>
  <c r="O92" i="2" s="1"/>
  <c r="I92" i="3" s="1"/>
  <c r="L92" i="3" s="1"/>
  <c r="K80" i="2"/>
  <c r="O79" i="2"/>
  <c r="I79" i="3" s="1"/>
  <c r="L79" i="3" s="1"/>
  <c r="K90" i="2"/>
  <c r="O90" i="2" s="1"/>
  <c r="I90" i="3" s="1"/>
  <c r="L90" i="3" s="1"/>
  <c r="O89" i="2"/>
  <c r="I89" i="3" s="1"/>
  <c r="L89" i="3" s="1"/>
  <c r="I88" i="3"/>
  <c r="L88" i="3" s="1"/>
  <c r="O78" i="2"/>
  <c r="I78" i="3" s="1"/>
  <c r="L78" i="3" s="1"/>
  <c r="O95" i="2"/>
  <c r="K67" i="2"/>
  <c r="O67" i="2" s="1"/>
  <c r="I67" i="3" s="1"/>
  <c r="L67" i="3" s="1"/>
  <c r="O28" i="2"/>
  <c r="I27" i="3" s="1"/>
  <c r="L27" i="3" s="1"/>
  <c r="K69" i="2"/>
  <c r="Z97" i="3" l="1"/>
  <c r="BB97" i="3" s="1"/>
  <c r="T97" i="3"/>
  <c r="AV97" i="3" s="1"/>
  <c r="V97" i="3"/>
  <c r="AX97" i="3" s="1"/>
  <c r="P97" i="3"/>
  <c r="AR97" i="3" s="1"/>
  <c r="AK97" i="3"/>
  <c r="BM97" i="3" s="1"/>
  <c r="AJ97" i="3"/>
  <c r="BL97" i="3" s="1"/>
  <c r="AL97" i="3"/>
  <c r="BN97" i="3" s="1"/>
  <c r="AA97" i="3"/>
  <c r="BC97" i="3" s="1"/>
  <c r="AE97" i="3"/>
  <c r="BG97" i="3" s="1"/>
  <c r="P46" i="3"/>
  <c r="AR46" i="3" s="1"/>
  <c r="X46" i="3"/>
  <c r="AZ46" i="3" s="1"/>
  <c r="Y46" i="3"/>
  <c r="BA46" i="3" s="1"/>
  <c r="AJ46" i="3"/>
  <c r="BL46" i="3" s="1"/>
  <c r="AF58" i="3"/>
  <c r="BH58" i="3" s="1"/>
  <c r="M58" i="3"/>
  <c r="AO58" i="3" s="1"/>
  <c r="W58" i="3"/>
  <c r="AY58" i="3" s="1"/>
  <c r="U58" i="3"/>
  <c r="AW58" i="3" s="1"/>
  <c r="R58" i="3"/>
  <c r="AT58" i="3" s="1"/>
  <c r="AC58" i="3"/>
  <c r="BE58" i="3" s="1"/>
  <c r="Z58" i="3"/>
  <c r="BB58" i="3" s="1"/>
  <c r="AH58" i="3"/>
  <c r="BJ58" i="3" s="1"/>
  <c r="Q58" i="3"/>
  <c r="AS58" i="3" s="1"/>
  <c r="AI58" i="3"/>
  <c r="BK58" i="3" s="1"/>
  <c r="Y58" i="3"/>
  <c r="BA58" i="3" s="1"/>
  <c r="T58" i="3"/>
  <c r="AV58" i="3" s="1"/>
  <c r="AJ58" i="3"/>
  <c r="BL58" i="3" s="1"/>
  <c r="V58" i="3"/>
  <c r="AX58" i="3" s="1"/>
  <c r="AE58" i="3"/>
  <c r="BG58" i="3" s="1"/>
  <c r="S58" i="3"/>
  <c r="AU58" i="3" s="1"/>
  <c r="AD58" i="3"/>
  <c r="BF58" i="3" s="1"/>
  <c r="X58" i="3"/>
  <c r="AZ58" i="3" s="1"/>
  <c r="AB58" i="3"/>
  <c r="BD58" i="3" s="1"/>
  <c r="AG58" i="3"/>
  <c r="BI58" i="3" s="1"/>
  <c r="S62" i="3"/>
  <c r="AU62" i="3" s="1"/>
  <c r="N62" i="3"/>
  <c r="AP62" i="3" s="1"/>
  <c r="V62" i="3"/>
  <c r="AX62" i="3" s="1"/>
  <c r="AL62" i="3"/>
  <c r="BN62" i="3" s="1"/>
  <c r="M62" i="3"/>
  <c r="AO62" i="3" s="1"/>
  <c r="AC62" i="3"/>
  <c r="BE62" i="3" s="1"/>
  <c r="AD62" i="3"/>
  <c r="BF62" i="3" s="1"/>
  <c r="AE62" i="3"/>
  <c r="BG62" i="3" s="1"/>
  <c r="AI62" i="3"/>
  <c r="BK62" i="3" s="1"/>
  <c r="P62" i="3"/>
  <c r="AR62" i="3" s="1"/>
  <c r="X62" i="3"/>
  <c r="AZ62" i="3" s="1"/>
  <c r="Q62" i="3"/>
  <c r="AS62" i="3" s="1"/>
  <c r="AM62" i="3"/>
  <c r="BO62" i="3" s="1"/>
  <c r="N47" i="3"/>
  <c r="AP47" i="3" s="1"/>
  <c r="R47" i="3"/>
  <c r="AT47" i="3" s="1"/>
  <c r="V47" i="3"/>
  <c r="AX47" i="3" s="1"/>
  <c r="Z47" i="3"/>
  <c r="BB47" i="3" s="1"/>
  <c r="AF47" i="3"/>
  <c r="BH47" i="3" s="1"/>
  <c r="Q47" i="3"/>
  <c r="AS47" i="3" s="1"/>
  <c r="AE47" i="3"/>
  <c r="BG47" i="3" s="1"/>
  <c r="O47" i="3"/>
  <c r="AQ47" i="3" s="1"/>
  <c r="Y47" i="3"/>
  <c r="BA47" i="3" s="1"/>
  <c r="AB47" i="3"/>
  <c r="BD47" i="3" s="1"/>
  <c r="S47" i="3"/>
  <c r="AU47" i="3" s="1"/>
  <c r="M47" i="3"/>
  <c r="AO47" i="3" s="1"/>
  <c r="AA47" i="3"/>
  <c r="BC47" i="3" s="1"/>
  <c r="AK47" i="3"/>
  <c r="BM47" i="3" s="1"/>
  <c r="U47" i="3"/>
  <c r="AW47" i="3" s="1"/>
  <c r="AH47" i="3"/>
  <c r="BJ47" i="3" s="1"/>
  <c r="T47" i="3"/>
  <c r="AV47" i="3" s="1"/>
  <c r="P47" i="3"/>
  <c r="AR47" i="3" s="1"/>
  <c r="AL47" i="3"/>
  <c r="BN47" i="3" s="1"/>
  <c r="W47" i="3"/>
  <c r="AY47" i="3" s="1"/>
  <c r="X47" i="3"/>
  <c r="AZ47" i="3" s="1"/>
  <c r="AM47" i="3"/>
  <c r="BO47" i="3" s="1"/>
  <c r="AJ47" i="3"/>
  <c r="BL47" i="3" s="1"/>
  <c r="AG47" i="3"/>
  <c r="BI47" i="3" s="1"/>
  <c r="AC47" i="3"/>
  <c r="BE47" i="3" s="1"/>
  <c r="AD47" i="3"/>
  <c r="BF47" i="3" s="1"/>
  <c r="AI47" i="3"/>
  <c r="BK47" i="3" s="1"/>
  <c r="AC63" i="3"/>
  <c r="BE63" i="3" s="1"/>
  <c r="U62" i="3"/>
  <c r="AW62" i="3" s="1"/>
  <c r="Y62" i="3"/>
  <c r="BA62" i="3" s="1"/>
  <c r="AB62" i="3"/>
  <c r="BD62" i="3" s="1"/>
  <c r="R62" i="3"/>
  <c r="AT62" i="3" s="1"/>
  <c r="AH62" i="3"/>
  <c r="BJ62" i="3" s="1"/>
  <c r="Z62" i="3"/>
  <c r="BB62" i="3" s="1"/>
  <c r="T62" i="3"/>
  <c r="AV62" i="3" s="1"/>
  <c r="O62" i="3"/>
  <c r="AQ62" i="3" s="1"/>
  <c r="AJ62" i="3"/>
  <c r="BL62" i="3" s="1"/>
  <c r="AG62" i="3"/>
  <c r="BI62" i="3" s="1"/>
  <c r="W62" i="3"/>
  <c r="AY62" i="3" s="1"/>
  <c r="AK62" i="3"/>
  <c r="BM62" i="3" s="1"/>
  <c r="AA62" i="3"/>
  <c r="BC62" i="3" s="1"/>
  <c r="AF62" i="3"/>
  <c r="BH62" i="3" s="1"/>
  <c r="M97" i="3"/>
  <c r="AO97" i="3" s="1"/>
  <c r="AH97" i="3"/>
  <c r="BJ97" i="3" s="1"/>
  <c r="AI97" i="3"/>
  <c r="BK97" i="3" s="1"/>
  <c r="N97" i="3"/>
  <c r="AP97" i="3" s="1"/>
  <c r="X97" i="3"/>
  <c r="AZ97" i="3" s="1"/>
  <c r="AM97" i="3"/>
  <c r="BO97" i="3" s="1"/>
  <c r="S97" i="3"/>
  <c r="AU97" i="3" s="1"/>
  <c r="AB97" i="3"/>
  <c r="BD97" i="3" s="1"/>
  <c r="W63" i="3"/>
  <c r="AY63" i="3" s="1"/>
  <c r="AF97" i="3"/>
  <c r="BH97" i="3" s="1"/>
  <c r="Y97" i="3"/>
  <c r="BA97" i="3" s="1"/>
  <c r="AE63" i="3"/>
  <c r="BG63" i="3" s="1"/>
  <c r="O97" i="3"/>
  <c r="AQ97" i="3" s="1"/>
  <c r="AG97" i="3"/>
  <c r="BI97" i="3" s="1"/>
  <c r="AA63" i="3"/>
  <c r="BC63" i="3" s="1"/>
  <c r="R97" i="3"/>
  <c r="AT97" i="3" s="1"/>
  <c r="Q97" i="3"/>
  <c r="AS97" i="3" s="1"/>
  <c r="AL63" i="3"/>
  <c r="BN63" i="3" s="1"/>
  <c r="W97" i="3"/>
  <c r="AY97" i="3" s="1"/>
  <c r="U97" i="3"/>
  <c r="AW97" i="3" s="1"/>
  <c r="AC97" i="3"/>
  <c r="BE97" i="3" s="1"/>
  <c r="AD97" i="3"/>
  <c r="BF97" i="3" s="1"/>
  <c r="L103" i="3"/>
  <c r="AL103" i="3"/>
  <c r="BN103" i="3" s="1"/>
  <c r="AG103" i="3"/>
  <c r="BI103" i="3" s="1"/>
  <c r="S103" i="3"/>
  <c r="AU103" i="3" s="1"/>
  <c r="W103" i="3"/>
  <c r="AY103" i="3" s="1"/>
  <c r="U103" i="3"/>
  <c r="AW103" i="3" s="1"/>
  <c r="AH103" i="3"/>
  <c r="BJ103" i="3" s="1"/>
  <c r="Y103" i="3"/>
  <c r="BA103" i="3" s="1"/>
  <c r="Q103" i="3"/>
  <c r="AS103" i="3" s="1"/>
  <c r="AD103" i="3"/>
  <c r="BF103" i="3" s="1"/>
  <c r="O103" i="3"/>
  <c r="AQ103" i="3" s="1"/>
  <c r="P103" i="3"/>
  <c r="AR103" i="3" s="1"/>
  <c r="Z103" i="3"/>
  <c r="BB103" i="3" s="1"/>
  <c r="N103" i="3"/>
  <c r="AP103" i="3" s="1"/>
  <c r="X103" i="3"/>
  <c r="AZ103" i="3" s="1"/>
  <c r="T103" i="3"/>
  <c r="AV103" i="3" s="1"/>
  <c r="AK103" i="3"/>
  <c r="BM103" i="3" s="1"/>
  <c r="AB103" i="3"/>
  <c r="BD103" i="3" s="1"/>
  <c r="AC103" i="3"/>
  <c r="BE103" i="3" s="1"/>
  <c r="AE103" i="3"/>
  <c r="BG103" i="3" s="1"/>
  <c r="V103" i="3"/>
  <c r="AX103" i="3" s="1"/>
  <c r="R103" i="3"/>
  <c r="AT103" i="3" s="1"/>
  <c r="AF103" i="3"/>
  <c r="BH103" i="3" s="1"/>
  <c r="M103" i="3"/>
  <c r="AO103" i="3" s="1"/>
  <c r="AI103" i="3"/>
  <c r="BK103" i="3" s="1"/>
  <c r="AJ103" i="3"/>
  <c r="BL103" i="3" s="1"/>
  <c r="AM103" i="3"/>
  <c r="BO103" i="3" s="1"/>
  <c r="AA103" i="3"/>
  <c r="BC103" i="3" s="1"/>
  <c r="AF63" i="3"/>
  <c r="BH63" i="3" s="1"/>
  <c r="AH63" i="3"/>
  <c r="BJ63" i="3" s="1"/>
  <c r="AJ63" i="3"/>
  <c r="BL63" i="3" s="1"/>
  <c r="AG63" i="3"/>
  <c r="BI63" i="3" s="1"/>
  <c r="O98" i="2"/>
  <c r="O99" i="2" s="1"/>
  <c r="I99" i="3" s="1"/>
  <c r="L99" i="3" s="1"/>
  <c r="K100" i="2"/>
  <c r="O100" i="2" s="1"/>
  <c r="I100" i="3" s="1"/>
  <c r="T63" i="3"/>
  <c r="AV63" i="3" s="1"/>
  <c r="AI63" i="3"/>
  <c r="BK63" i="3" s="1"/>
  <c r="AK63" i="3"/>
  <c r="BM63" i="3" s="1"/>
  <c r="P63" i="3"/>
  <c r="AR63" i="3" s="1"/>
  <c r="AM63" i="3"/>
  <c r="BO63" i="3" s="1"/>
  <c r="V63" i="3"/>
  <c r="AX63" i="3" s="1"/>
  <c r="X63" i="3"/>
  <c r="AZ63" i="3" s="1"/>
  <c r="AD63" i="3"/>
  <c r="BF63" i="3" s="1"/>
  <c r="R63" i="3"/>
  <c r="AT63" i="3" s="1"/>
  <c r="M63" i="3"/>
  <c r="AO63" i="3" s="1"/>
  <c r="Z63" i="3"/>
  <c r="BB63" i="3" s="1"/>
  <c r="N63" i="3"/>
  <c r="AP63" i="3" s="1"/>
  <c r="U63" i="3"/>
  <c r="AW63" i="3" s="1"/>
  <c r="Q63" i="3"/>
  <c r="AS63" i="3" s="1"/>
  <c r="AB63" i="3"/>
  <c r="BD63" i="3" s="1"/>
  <c r="Y63" i="3"/>
  <c r="BA63" i="3" s="1"/>
  <c r="O63" i="3"/>
  <c r="AQ63" i="3" s="1"/>
  <c r="S63" i="3"/>
  <c r="AU63" i="3" s="1"/>
  <c r="L37" i="3"/>
  <c r="BR114" i="3" s="1"/>
  <c r="AF27" i="3"/>
  <c r="BH27" i="3" s="1"/>
  <c r="O27" i="3"/>
  <c r="AQ27" i="3" s="1"/>
  <c r="U27" i="3"/>
  <c r="AW27" i="3" s="1"/>
  <c r="Z27" i="3"/>
  <c r="BB27" i="3" s="1"/>
  <c r="T27" i="3"/>
  <c r="AV27" i="3" s="1"/>
  <c r="X27" i="3"/>
  <c r="AZ27" i="3" s="1"/>
  <c r="AE27" i="3"/>
  <c r="BG27" i="3" s="1"/>
  <c r="AM27" i="3"/>
  <c r="BO27" i="3" s="1"/>
  <c r="AD27" i="3"/>
  <c r="BF27" i="3" s="1"/>
  <c r="P27" i="3"/>
  <c r="AR27" i="3" s="1"/>
  <c r="M27" i="3"/>
  <c r="AO27" i="3" s="1"/>
  <c r="V27" i="3"/>
  <c r="AX27" i="3" s="1"/>
  <c r="AG27" i="3"/>
  <c r="BI27" i="3" s="1"/>
  <c r="R27" i="3"/>
  <c r="AT27" i="3" s="1"/>
  <c r="Y27" i="3"/>
  <c r="BA27" i="3" s="1"/>
  <c r="AC27" i="3"/>
  <c r="BE27" i="3" s="1"/>
  <c r="Q27" i="3"/>
  <c r="AS27" i="3" s="1"/>
  <c r="AH27" i="3"/>
  <c r="BJ27" i="3" s="1"/>
  <c r="AI27" i="3"/>
  <c r="BK27" i="3" s="1"/>
  <c r="AB27" i="3"/>
  <c r="BD27" i="3" s="1"/>
  <c r="N27" i="3"/>
  <c r="AP27" i="3" s="1"/>
  <c r="AA27" i="3"/>
  <c r="BC27" i="3" s="1"/>
  <c r="W27" i="3"/>
  <c r="AY27" i="3" s="1"/>
  <c r="AL27" i="3"/>
  <c r="BN27" i="3" s="1"/>
  <c r="S27" i="3"/>
  <c r="AU27" i="3" s="1"/>
  <c r="AK27" i="3"/>
  <c r="BM27" i="3" s="1"/>
  <c r="AJ27" i="3"/>
  <c r="BL27" i="3" s="1"/>
  <c r="K133" i="2"/>
  <c r="R109" i="3"/>
  <c r="AT109" i="3" s="1"/>
  <c r="Z109" i="3"/>
  <c r="BB109" i="3" s="1"/>
  <c r="AH109" i="3"/>
  <c r="BJ109" i="3" s="1"/>
  <c r="S109" i="3"/>
  <c r="AU109" i="3" s="1"/>
  <c r="AA109" i="3"/>
  <c r="BC109" i="3" s="1"/>
  <c r="AI109" i="3"/>
  <c r="BK109" i="3" s="1"/>
  <c r="T109" i="3"/>
  <c r="AV109" i="3" s="1"/>
  <c r="AB109" i="3"/>
  <c r="BD109" i="3" s="1"/>
  <c r="AJ109" i="3"/>
  <c r="BL109" i="3" s="1"/>
  <c r="N109" i="3"/>
  <c r="AP109" i="3" s="1"/>
  <c r="V109" i="3"/>
  <c r="AX109" i="3" s="1"/>
  <c r="AD109" i="3"/>
  <c r="BF109" i="3" s="1"/>
  <c r="AL109" i="3"/>
  <c r="BN109" i="3" s="1"/>
  <c r="O109" i="3"/>
  <c r="AQ109" i="3" s="1"/>
  <c r="W109" i="3"/>
  <c r="AY109" i="3" s="1"/>
  <c r="AE109" i="3"/>
  <c r="BG109" i="3" s="1"/>
  <c r="AM109" i="3"/>
  <c r="BO109" i="3" s="1"/>
  <c r="AG109" i="3"/>
  <c r="BI109" i="3" s="1"/>
  <c r="P109" i="3"/>
  <c r="AR109" i="3" s="1"/>
  <c r="AK109" i="3"/>
  <c r="BM109" i="3" s="1"/>
  <c r="Q109" i="3"/>
  <c r="AS109" i="3" s="1"/>
  <c r="M109" i="3"/>
  <c r="U109" i="3"/>
  <c r="AW109" i="3" s="1"/>
  <c r="X109" i="3"/>
  <c r="AZ109" i="3" s="1"/>
  <c r="AC109" i="3"/>
  <c r="BE109" i="3" s="1"/>
  <c r="AF109" i="3"/>
  <c r="BH109" i="3" s="1"/>
  <c r="Y109" i="3"/>
  <c r="BA109" i="3" s="1"/>
  <c r="AK30" i="3"/>
  <c r="BM30" i="3" s="1"/>
  <c r="AC30" i="3"/>
  <c r="BE30" i="3" s="1"/>
  <c r="U30" i="3"/>
  <c r="AW30" i="3" s="1"/>
  <c r="M30" i="3"/>
  <c r="AO30" i="3" s="1"/>
  <c r="AL30" i="3"/>
  <c r="BN30" i="3" s="1"/>
  <c r="AD30" i="3"/>
  <c r="BF30" i="3" s="1"/>
  <c r="V30" i="3"/>
  <c r="AX30" i="3" s="1"/>
  <c r="N30" i="3"/>
  <c r="AP30" i="3" s="1"/>
  <c r="AF30" i="3"/>
  <c r="BH30" i="3" s="1"/>
  <c r="X30" i="3"/>
  <c r="AZ30" i="3" s="1"/>
  <c r="P30" i="3"/>
  <c r="AR30" i="3" s="1"/>
  <c r="AM30" i="3"/>
  <c r="BO30" i="3" s="1"/>
  <c r="AG30" i="3"/>
  <c r="BI30" i="3" s="1"/>
  <c r="AB30" i="3"/>
  <c r="BD30" i="3" s="1"/>
  <c r="Z30" i="3"/>
  <c r="BB30" i="3" s="1"/>
  <c r="Y30" i="3"/>
  <c r="BA30" i="3" s="1"/>
  <c r="T30" i="3"/>
  <c r="AV30" i="3" s="1"/>
  <c r="S30" i="3"/>
  <c r="AU30" i="3" s="1"/>
  <c r="AA30" i="3"/>
  <c r="BC30" i="3" s="1"/>
  <c r="O30" i="3"/>
  <c r="AQ30" i="3" s="1"/>
  <c r="AE30" i="3"/>
  <c r="BG30" i="3" s="1"/>
  <c r="AJ30" i="3"/>
  <c r="BL30" i="3" s="1"/>
  <c r="AI30" i="3"/>
  <c r="BK30" i="3" s="1"/>
  <c r="W30" i="3"/>
  <c r="AY30" i="3" s="1"/>
  <c r="AH30" i="3"/>
  <c r="BJ30" i="3" s="1"/>
  <c r="R30" i="3"/>
  <c r="AT30" i="3" s="1"/>
  <c r="Q30" i="3"/>
  <c r="AS30" i="3" s="1"/>
  <c r="AM88" i="3"/>
  <c r="BO88" i="3" s="1"/>
  <c r="AI88" i="3"/>
  <c r="BK88" i="3" s="1"/>
  <c r="AE88" i="3"/>
  <c r="BG88" i="3" s="1"/>
  <c r="AA88" i="3"/>
  <c r="BC88" i="3" s="1"/>
  <c r="AL88" i="3"/>
  <c r="BN88" i="3" s="1"/>
  <c r="AH88" i="3"/>
  <c r="BJ88" i="3" s="1"/>
  <c r="AD88" i="3"/>
  <c r="BF88" i="3" s="1"/>
  <c r="Z88" i="3"/>
  <c r="BB88" i="3" s="1"/>
  <c r="AJ88" i="3"/>
  <c r="BL88" i="3" s="1"/>
  <c r="AF88" i="3"/>
  <c r="BH88" i="3" s="1"/>
  <c r="AB88" i="3"/>
  <c r="BD88" i="3" s="1"/>
  <c r="X88" i="3"/>
  <c r="AZ88" i="3" s="1"/>
  <c r="U88" i="3"/>
  <c r="AW88" i="3" s="1"/>
  <c r="Q88" i="3"/>
  <c r="AS88" i="3" s="1"/>
  <c r="AK88" i="3"/>
  <c r="BM88" i="3" s="1"/>
  <c r="AC88" i="3"/>
  <c r="BE88" i="3" s="1"/>
  <c r="T88" i="3"/>
  <c r="AV88" i="3" s="1"/>
  <c r="W88" i="3"/>
  <c r="AY88" i="3" s="1"/>
  <c r="S88" i="3"/>
  <c r="AU88" i="3" s="1"/>
  <c r="AG88" i="3"/>
  <c r="BI88" i="3" s="1"/>
  <c r="O88" i="3"/>
  <c r="AQ88" i="3" s="1"/>
  <c r="N88" i="3"/>
  <c r="AP88" i="3" s="1"/>
  <c r="R88" i="3"/>
  <c r="AT88" i="3" s="1"/>
  <c r="M88" i="3"/>
  <c r="AO88" i="3" s="1"/>
  <c r="Y88" i="3"/>
  <c r="BA88" i="3" s="1"/>
  <c r="V88" i="3"/>
  <c r="AX88" i="3" s="1"/>
  <c r="P88" i="3"/>
  <c r="AR88" i="3" s="1"/>
  <c r="U127" i="3"/>
  <c r="AW127" i="3" s="1"/>
  <c r="AC127" i="3"/>
  <c r="BE127" i="3" s="1"/>
  <c r="AK127" i="3"/>
  <c r="BM127" i="3" s="1"/>
  <c r="N127" i="3"/>
  <c r="AP127" i="3" s="1"/>
  <c r="V127" i="3"/>
  <c r="AX127" i="3" s="1"/>
  <c r="AD127" i="3"/>
  <c r="BF127" i="3" s="1"/>
  <c r="AL127" i="3"/>
  <c r="BN127" i="3" s="1"/>
  <c r="O127" i="3"/>
  <c r="AQ127" i="3" s="1"/>
  <c r="W127" i="3"/>
  <c r="AY127" i="3" s="1"/>
  <c r="AE127" i="3"/>
  <c r="BG127" i="3" s="1"/>
  <c r="AM127" i="3"/>
  <c r="BO127" i="3" s="1"/>
  <c r="P127" i="3"/>
  <c r="AR127" i="3" s="1"/>
  <c r="Q127" i="3"/>
  <c r="AS127" i="3" s="1"/>
  <c r="Y127" i="3"/>
  <c r="BA127" i="3" s="1"/>
  <c r="AG127" i="3"/>
  <c r="BI127" i="3" s="1"/>
  <c r="R127" i="3"/>
  <c r="AT127" i="3" s="1"/>
  <c r="Z127" i="3"/>
  <c r="BB127" i="3" s="1"/>
  <c r="AH127" i="3"/>
  <c r="BJ127" i="3" s="1"/>
  <c r="S127" i="3"/>
  <c r="AU127" i="3" s="1"/>
  <c r="M127" i="3"/>
  <c r="T127" i="3"/>
  <c r="AV127" i="3" s="1"/>
  <c r="X127" i="3"/>
  <c r="AZ127" i="3" s="1"/>
  <c r="AA127" i="3"/>
  <c r="BC127" i="3" s="1"/>
  <c r="AB127" i="3"/>
  <c r="BD127" i="3" s="1"/>
  <c r="AF127" i="3"/>
  <c r="BH127" i="3" s="1"/>
  <c r="AI127" i="3"/>
  <c r="BK127" i="3" s="1"/>
  <c r="AJ127" i="3"/>
  <c r="BL127" i="3" s="1"/>
  <c r="AJ91" i="3"/>
  <c r="BL91" i="3" s="1"/>
  <c r="AF91" i="3"/>
  <c r="BH91" i="3" s="1"/>
  <c r="AB91" i="3"/>
  <c r="BD91" i="3" s="1"/>
  <c r="AM91" i="3"/>
  <c r="BO91" i="3" s="1"/>
  <c r="AE91" i="3"/>
  <c r="BG91" i="3" s="1"/>
  <c r="V91" i="3"/>
  <c r="AX91" i="3" s="1"/>
  <c r="R91" i="3"/>
  <c r="AT91" i="3" s="1"/>
  <c r="AH91" i="3"/>
  <c r="BJ91" i="3" s="1"/>
  <c r="Z91" i="3"/>
  <c r="BB91" i="3" s="1"/>
  <c r="AK91" i="3"/>
  <c r="BM91" i="3" s="1"/>
  <c r="AC91" i="3"/>
  <c r="BE91" i="3" s="1"/>
  <c r="U91" i="3"/>
  <c r="AW91" i="3" s="1"/>
  <c r="AI91" i="3"/>
  <c r="BK91" i="3" s="1"/>
  <c r="AA91" i="3"/>
  <c r="BC91" i="3" s="1"/>
  <c r="X91" i="3"/>
  <c r="AZ91" i="3" s="1"/>
  <c r="M91" i="3"/>
  <c r="AO91" i="3" s="1"/>
  <c r="AD91" i="3"/>
  <c r="BF91" i="3" s="1"/>
  <c r="Y91" i="3"/>
  <c r="BA91" i="3" s="1"/>
  <c r="W91" i="3"/>
  <c r="AY91" i="3" s="1"/>
  <c r="AL91" i="3"/>
  <c r="BN91" i="3" s="1"/>
  <c r="S91" i="3"/>
  <c r="AU91" i="3" s="1"/>
  <c r="P91" i="3"/>
  <c r="AR91" i="3" s="1"/>
  <c r="T91" i="3"/>
  <c r="AV91" i="3" s="1"/>
  <c r="O91" i="3"/>
  <c r="AQ91" i="3" s="1"/>
  <c r="AG91" i="3"/>
  <c r="BI91" i="3" s="1"/>
  <c r="N91" i="3"/>
  <c r="AP91" i="3" s="1"/>
  <c r="Q91" i="3"/>
  <c r="AS91" i="3" s="1"/>
  <c r="AI24" i="3"/>
  <c r="BK24" i="3" s="1"/>
  <c r="AA24" i="3"/>
  <c r="BC24" i="3" s="1"/>
  <c r="S24" i="3"/>
  <c r="AU24" i="3" s="1"/>
  <c r="AJ24" i="3"/>
  <c r="BL24" i="3" s="1"/>
  <c r="AB24" i="3"/>
  <c r="BD24" i="3" s="1"/>
  <c r="T24" i="3"/>
  <c r="AV24" i="3" s="1"/>
  <c r="AL24" i="3"/>
  <c r="BN24" i="3" s="1"/>
  <c r="AD24" i="3"/>
  <c r="BF24" i="3" s="1"/>
  <c r="V24" i="3"/>
  <c r="AX24" i="3" s="1"/>
  <c r="N24" i="3"/>
  <c r="AP24" i="3" s="1"/>
  <c r="Y24" i="3"/>
  <c r="BA24" i="3" s="1"/>
  <c r="M24" i="3"/>
  <c r="AO24" i="3" s="1"/>
  <c r="AC24" i="3"/>
  <c r="BE24" i="3" s="1"/>
  <c r="AH24" i="3"/>
  <c r="BJ24" i="3" s="1"/>
  <c r="P24" i="3"/>
  <c r="AR24" i="3" s="1"/>
  <c r="U24" i="3"/>
  <c r="AW24" i="3" s="1"/>
  <c r="X24" i="3"/>
  <c r="AZ24" i="3" s="1"/>
  <c r="W24" i="3"/>
  <c r="AY24" i="3" s="1"/>
  <c r="R24" i="3"/>
  <c r="AT24" i="3" s="1"/>
  <c r="Q24" i="3"/>
  <c r="AS24" i="3" s="1"/>
  <c r="AM24" i="3"/>
  <c r="BO24" i="3" s="1"/>
  <c r="AG24" i="3"/>
  <c r="BI24" i="3" s="1"/>
  <c r="AF24" i="3"/>
  <c r="BH24" i="3" s="1"/>
  <c r="Z24" i="3"/>
  <c r="BB24" i="3" s="1"/>
  <c r="O24" i="3"/>
  <c r="AQ24" i="3" s="1"/>
  <c r="AE24" i="3"/>
  <c r="BG24" i="3" s="1"/>
  <c r="AK24" i="3"/>
  <c r="BM24" i="3" s="1"/>
  <c r="AJ90" i="3"/>
  <c r="BL90" i="3" s="1"/>
  <c r="AF90" i="3"/>
  <c r="BH90" i="3" s="1"/>
  <c r="AB90" i="3"/>
  <c r="BD90" i="3" s="1"/>
  <c r="AM90" i="3"/>
  <c r="BO90" i="3" s="1"/>
  <c r="AI90" i="3"/>
  <c r="BK90" i="3" s="1"/>
  <c r="AE90" i="3"/>
  <c r="BG90" i="3" s="1"/>
  <c r="AA90" i="3"/>
  <c r="BC90" i="3" s="1"/>
  <c r="AK90" i="3"/>
  <c r="BM90" i="3" s="1"/>
  <c r="AG90" i="3"/>
  <c r="BI90" i="3" s="1"/>
  <c r="AC90" i="3"/>
  <c r="BE90" i="3" s="1"/>
  <c r="Y90" i="3"/>
  <c r="BA90" i="3" s="1"/>
  <c r="V90" i="3"/>
  <c r="AX90" i="3" s="1"/>
  <c r="R90" i="3"/>
  <c r="AT90" i="3" s="1"/>
  <c r="AH90" i="3"/>
  <c r="BJ90" i="3" s="1"/>
  <c r="Z90" i="3"/>
  <c r="BB90" i="3" s="1"/>
  <c r="U90" i="3"/>
  <c r="AW90" i="3" s="1"/>
  <c r="X90" i="3"/>
  <c r="AZ90" i="3" s="1"/>
  <c r="T90" i="3"/>
  <c r="AV90" i="3" s="1"/>
  <c r="AL90" i="3"/>
  <c r="BN90" i="3" s="1"/>
  <c r="AD90" i="3"/>
  <c r="BF90" i="3" s="1"/>
  <c r="W90" i="3"/>
  <c r="AY90" i="3" s="1"/>
  <c r="S90" i="3"/>
  <c r="AU90" i="3" s="1"/>
  <c r="P90" i="3"/>
  <c r="AR90" i="3" s="1"/>
  <c r="O90" i="3"/>
  <c r="AQ90" i="3" s="1"/>
  <c r="N90" i="3"/>
  <c r="AP90" i="3" s="1"/>
  <c r="M90" i="3"/>
  <c r="AO90" i="3" s="1"/>
  <c r="Q90" i="3"/>
  <c r="AS90" i="3" s="1"/>
  <c r="AH33" i="3"/>
  <c r="BJ33" i="3" s="1"/>
  <c r="Z33" i="3"/>
  <c r="BB33" i="3" s="1"/>
  <c r="R33" i="3"/>
  <c r="AT33" i="3" s="1"/>
  <c r="AI33" i="3"/>
  <c r="BK33" i="3" s="1"/>
  <c r="AA33" i="3"/>
  <c r="BC33" i="3" s="1"/>
  <c r="S33" i="3"/>
  <c r="AU33" i="3" s="1"/>
  <c r="AK33" i="3"/>
  <c r="BM33" i="3" s="1"/>
  <c r="AC33" i="3"/>
  <c r="BE33" i="3" s="1"/>
  <c r="U33" i="3"/>
  <c r="AW33" i="3" s="1"/>
  <c r="M33" i="3"/>
  <c r="AO33" i="3" s="1"/>
  <c r="W33" i="3"/>
  <c r="AY33" i="3" s="1"/>
  <c r="P33" i="3"/>
  <c r="AR33" i="3" s="1"/>
  <c r="O33" i="3"/>
  <c r="AQ33" i="3" s="1"/>
  <c r="N33" i="3"/>
  <c r="AP33" i="3" s="1"/>
  <c r="AB33" i="3"/>
  <c r="BD33" i="3" s="1"/>
  <c r="V33" i="3"/>
  <c r="AX33" i="3" s="1"/>
  <c r="Q33" i="3"/>
  <c r="AS33" i="3" s="1"/>
  <c r="AM33" i="3"/>
  <c r="BO33" i="3" s="1"/>
  <c r="AF33" i="3"/>
  <c r="BH33" i="3" s="1"/>
  <c r="T33" i="3"/>
  <c r="AV33" i="3" s="1"/>
  <c r="AL33" i="3"/>
  <c r="BN33" i="3" s="1"/>
  <c r="AG33" i="3"/>
  <c r="BI33" i="3" s="1"/>
  <c r="AE33" i="3"/>
  <c r="BG33" i="3" s="1"/>
  <c r="AJ33" i="3"/>
  <c r="BL33" i="3" s="1"/>
  <c r="AD33" i="3"/>
  <c r="BF33" i="3" s="1"/>
  <c r="Y33" i="3"/>
  <c r="BA33" i="3" s="1"/>
  <c r="X33" i="3"/>
  <c r="AZ33" i="3" s="1"/>
  <c r="AL78" i="3"/>
  <c r="BN78" i="3" s="1"/>
  <c r="AH78" i="3"/>
  <c r="BJ78" i="3" s="1"/>
  <c r="AD78" i="3"/>
  <c r="BF78" i="3" s="1"/>
  <c r="Z78" i="3"/>
  <c r="BB78" i="3" s="1"/>
  <c r="AK78" i="3"/>
  <c r="BM78" i="3" s="1"/>
  <c r="AG78" i="3"/>
  <c r="BI78" i="3" s="1"/>
  <c r="AC78" i="3"/>
  <c r="BE78" i="3" s="1"/>
  <c r="Y78" i="3"/>
  <c r="BA78" i="3" s="1"/>
  <c r="AM78" i="3"/>
  <c r="BO78" i="3" s="1"/>
  <c r="AI78" i="3"/>
  <c r="BK78" i="3" s="1"/>
  <c r="AE78" i="3"/>
  <c r="BG78" i="3" s="1"/>
  <c r="AA78" i="3"/>
  <c r="BC78" i="3" s="1"/>
  <c r="T78" i="3"/>
  <c r="AV78" i="3" s="1"/>
  <c r="P78" i="3"/>
  <c r="AR78" i="3" s="1"/>
  <c r="AJ78" i="3"/>
  <c r="BL78" i="3" s="1"/>
  <c r="AB78" i="3"/>
  <c r="BD78" i="3" s="1"/>
  <c r="W78" i="3"/>
  <c r="AY78" i="3" s="1"/>
  <c r="S78" i="3"/>
  <c r="AU78" i="3" s="1"/>
  <c r="V78" i="3"/>
  <c r="AX78" i="3" s="1"/>
  <c r="R78" i="3"/>
  <c r="AT78" i="3" s="1"/>
  <c r="AF78" i="3"/>
  <c r="BH78" i="3" s="1"/>
  <c r="N78" i="3"/>
  <c r="AP78" i="3" s="1"/>
  <c r="U78" i="3"/>
  <c r="AW78" i="3" s="1"/>
  <c r="M78" i="3"/>
  <c r="AO78" i="3" s="1"/>
  <c r="X78" i="3"/>
  <c r="AZ78" i="3" s="1"/>
  <c r="Q78" i="3"/>
  <c r="AS78" i="3" s="1"/>
  <c r="O78" i="3"/>
  <c r="AQ78" i="3" s="1"/>
  <c r="AM89" i="3"/>
  <c r="BO89" i="3" s="1"/>
  <c r="AI89" i="3"/>
  <c r="BK89" i="3" s="1"/>
  <c r="AE89" i="3"/>
  <c r="BG89" i="3" s="1"/>
  <c r="AA89" i="3"/>
  <c r="BC89" i="3" s="1"/>
  <c r="AH89" i="3"/>
  <c r="BJ89" i="3" s="1"/>
  <c r="Z89" i="3"/>
  <c r="BB89" i="3" s="1"/>
  <c r="U89" i="3"/>
  <c r="AW89" i="3" s="1"/>
  <c r="Q89" i="3"/>
  <c r="AS89" i="3" s="1"/>
  <c r="AK89" i="3"/>
  <c r="BM89" i="3" s="1"/>
  <c r="AC89" i="3"/>
  <c r="BE89" i="3" s="1"/>
  <c r="AF89" i="3"/>
  <c r="BH89" i="3" s="1"/>
  <c r="X89" i="3"/>
  <c r="AZ89" i="3" s="1"/>
  <c r="AL89" i="3"/>
  <c r="BN89" i="3" s="1"/>
  <c r="AD89" i="3"/>
  <c r="BF89" i="3" s="1"/>
  <c r="Y89" i="3"/>
  <c r="BA89" i="3" s="1"/>
  <c r="V89" i="3"/>
  <c r="AX89" i="3" s="1"/>
  <c r="S89" i="3"/>
  <c r="AU89" i="3" s="1"/>
  <c r="P89" i="3"/>
  <c r="AR89" i="3" s="1"/>
  <c r="AB89" i="3"/>
  <c r="BD89" i="3" s="1"/>
  <c r="O89" i="3"/>
  <c r="AQ89" i="3" s="1"/>
  <c r="T89" i="3"/>
  <c r="AV89" i="3" s="1"/>
  <c r="AG89" i="3"/>
  <c r="BI89" i="3" s="1"/>
  <c r="N89" i="3"/>
  <c r="AP89" i="3" s="1"/>
  <c r="AJ89" i="3"/>
  <c r="BL89" i="3" s="1"/>
  <c r="M89" i="3"/>
  <c r="AO89" i="3" s="1"/>
  <c r="W89" i="3"/>
  <c r="AY89" i="3" s="1"/>
  <c r="R89" i="3"/>
  <c r="AT89" i="3" s="1"/>
  <c r="AJ67" i="3"/>
  <c r="BL67" i="3" s="1"/>
  <c r="AF67" i="3"/>
  <c r="BH67" i="3" s="1"/>
  <c r="AB67" i="3"/>
  <c r="BD67" i="3" s="1"/>
  <c r="X67" i="3"/>
  <c r="AZ67" i="3" s="1"/>
  <c r="AI67" i="3"/>
  <c r="BK67" i="3" s="1"/>
  <c r="AA67" i="3"/>
  <c r="BC67" i="3" s="1"/>
  <c r="V67" i="3"/>
  <c r="AX67" i="3" s="1"/>
  <c r="R67" i="3"/>
  <c r="AT67" i="3" s="1"/>
  <c r="AL67" i="3"/>
  <c r="BN67" i="3" s="1"/>
  <c r="AD67" i="3"/>
  <c r="BF67" i="3" s="1"/>
  <c r="AG67" i="3"/>
  <c r="BI67" i="3" s="1"/>
  <c r="Y67" i="3"/>
  <c r="BA67" i="3" s="1"/>
  <c r="U67" i="3"/>
  <c r="AW67" i="3" s="1"/>
  <c r="AM67" i="3"/>
  <c r="BO67" i="3" s="1"/>
  <c r="AE67" i="3"/>
  <c r="BG67" i="3" s="1"/>
  <c r="W67" i="3"/>
  <c r="AY67" i="3" s="1"/>
  <c r="T67" i="3"/>
  <c r="AV67" i="3" s="1"/>
  <c r="Q67" i="3"/>
  <c r="AS67" i="3" s="1"/>
  <c r="M67" i="3"/>
  <c r="AO67" i="3" s="1"/>
  <c r="P67" i="3"/>
  <c r="AR67" i="3" s="1"/>
  <c r="AH67" i="3"/>
  <c r="BJ67" i="3" s="1"/>
  <c r="Z67" i="3"/>
  <c r="BB67" i="3" s="1"/>
  <c r="O67" i="3"/>
  <c r="AQ67" i="3" s="1"/>
  <c r="AK67" i="3"/>
  <c r="BM67" i="3" s="1"/>
  <c r="AC67" i="3"/>
  <c r="BE67" i="3" s="1"/>
  <c r="N67" i="3"/>
  <c r="AP67" i="3" s="1"/>
  <c r="S67" i="3"/>
  <c r="AU67" i="3" s="1"/>
  <c r="AK61" i="3"/>
  <c r="BM61" i="3" s="1"/>
  <c r="AJ61" i="3"/>
  <c r="BL61" i="3" s="1"/>
  <c r="AI61" i="3"/>
  <c r="BK61" i="3" s="1"/>
  <c r="Y61" i="3"/>
  <c r="BA61" i="3" s="1"/>
  <c r="Q61" i="3"/>
  <c r="AS61" i="3" s="1"/>
  <c r="W61" i="3"/>
  <c r="AY61" i="3" s="1"/>
  <c r="O61" i="3"/>
  <c r="AQ61" i="3" s="1"/>
  <c r="X61" i="3"/>
  <c r="AZ61" i="3" s="1"/>
  <c r="P61" i="3"/>
  <c r="AR61" i="3" s="1"/>
  <c r="AF61" i="3"/>
  <c r="BH61" i="3" s="1"/>
  <c r="AE61" i="3"/>
  <c r="BG61" i="3" s="1"/>
  <c r="AH61" i="3"/>
  <c r="BJ61" i="3" s="1"/>
  <c r="AD61" i="3"/>
  <c r="BF61" i="3" s="1"/>
  <c r="V61" i="3"/>
  <c r="AX61" i="3" s="1"/>
  <c r="N61" i="3"/>
  <c r="AP61" i="3" s="1"/>
  <c r="AC61" i="3"/>
  <c r="BE61" i="3" s="1"/>
  <c r="AM61" i="3"/>
  <c r="BO61" i="3" s="1"/>
  <c r="M61" i="3"/>
  <c r="AO61" i="3" s="1"/>
  <c r="AL61" i="3"/>
  <c r="BN61" i="3" s="1"/>
  <c r="T61" i="3"/>
  <c r="AV61" i="3" s="1"/>
  <c r="AA61" i="3"/>
  <c r="BC61" i="3" s="1"/>
  <c r="S61" i="3"/>
  <c r="AU61" i="3" s="1"/>
  <c r="AG61" i="3"/>
  <c r="BI61" i="3" s="1"/>
  <c r="Z61" i="3"/>
  <c r="BB61" i="3" s="1"/>
  <c r="AB61" i="3"/>
  <c r="BD61" i="3" s="1"/>
  <c r="R61" i="3"/>
  <c r="AT61" i="3" s="1"/>
  <c r="U61" i="3"/>
  <c r="AW61" i="3" s="1"/>
  <c r="AM128" i="3"/>
  <c r="BO128" i="3" s="1"/>
  <c r="AK128" i="3"/>
  <c r="BM128" i="3" s="1"/>
  <c r="AI128" i="3"/>
  <c r="BK128" i="3" s="1"/>
  <c r="AG128" i="3"/>
  <c r="BI128" i="3" s="1"/>
  <c r="AE128" i="3"/>
  <c r="BG128" i="3" s="1"/>
  <c r="AC128" i="3"/>
  <c r="BE128" i="3" s="1"/>
  <c r="AL128" i="3"/>
  <c r="BN128" i="3" s="1"/>
  <c r="AJ128" i="3"/>
  <c r="BL128" i="3" s="1"/>
  <c r="AH128" i="3"/>
  <c r="BJ128" i="3" s="1"/>
  <c r="AF128" i="3"/>
  <c r="BH128" i="3" s="1"/>
  <c r="AD128" i="3"/>
  <c r="BF128" i="3" s="1"/>
  <c r="AB128" i="3"/>
  <c r="BD128" i="3" s="1"/>
  <c r="Z128" i="3"/>
  <c r="BB128" i="3" s="1"/>
  <c r="X128" i="3"/>
  <c r="AZ128" i="3" s="1"/>
  <c r="V128" i="3"/>
  <c r="AX128" i="3" s="1"/>
  <c r="T128" i="3"/>
  <c r="AV128" i="3" s="1"/>
  <c r="R128" i="3"/>
  <c r="AT128" i="3" s="1"/>
  <c r="P128" i="3"/>
  <c r="AR128" i="3" s="1"/>
  <c r="Y128" i="3"/>
  <c r="BA128" i="3" s="1"/>
  <c r="U128" i="3"/>
  <c r="AW128" i="3" s="1"/>
  <c r="Q128" i="3"/>
  <c r="AS128" i="3" s="1"/>
  <c r="O128" i="3"/>
  <c r="AQ128" i="3" s="1"/>
  <c r="N128" i="3"/>
  <c r="AP128" i="3" s="1"/>
  <c r="W128" i="3"/>
  <c r="AY128" i="3" s="1"/>
  <c r="AA128" i="3"/>
  <c r="BC128" i="3" s="1"/>
  <c r="M128" i="3"/>
  <c r="AO128" i="3" s="1"/>
  <c r="S128" i="3"/>
  <c r="AU128" i="3" s="1"/>
  <c r="AL79" i="3"/>
  <c r="BN79" i="3" s="1"/>
  <c r="AH79" i="3"/>
  <c r="BJ79" i="3" s="1"/>
  <c r="AD79" i="3"/>
  <c r="BF79" i="3" s="1"/>
  <c r="Z79" i="3"/>
  <c r="BB79" i="3" s="1"/>
  <c r="AG79" i="3"/>
  <c r="BI79" i="3" s="1"/>
  <c r="Y79" i="3"/>
  <c r="BA79" i="3" s="1"/>
  <c r="T79" i="3"/>
  <c r="AV79" i="3" s="1"/>
  <c r="P79" i="3"/>
  <c r="AR79" i="3" s="1"/>
  <c r="AJ79" i="3"/>
  <c r="BL79" i="3" s="1"/>
  <c r="AB79" i="3"/>
  <c r="BD79" i="3" s="1"/>
  <c r="AM79" i="3"/>
  <c r="BO79" i="3" s="1"/>
  <c r="AE79" i="3"/>
  <c r="BG79" i="3" s="1"/>
  <c r="W79" i="3"/>
  <c r="AY79" i="3" s="1"/>
  <c r="AK79" i="3"/>
  <c r="BM79" i="3" s="1"/>
  <c r="AC79" i="3"/>
  <c r="BE79" i="3" s="1"/>
  <c r="AF79" i="3"/>
  <c r="BH79" i="3" s="1"/>
  <c r="R79" i="3"/>
  <c r="AT79" i="3" s="1"/>
  <c r="Q79" i="3"/>
  <c r="AS79" i="3" s="1"/>
  <c r="O79" i="3"/>
  <c r="AQ79" i="3" s="1"/>
  <c r="AI79" i="3"/>
  <c r="BK79" i="3" s="1"/>
  <c r="N79" i="3"/>
  <c r="AP79" i="3" s="1"/>
  <c r="V79" i="3"/>
  <c r="AX79" i="3" s="1"/>
  <c r="S79" i="3"/>
  <c r="AU79" i="3" s="1"/>
  <c r="U79" i="3"/>
  <c r="AW79" i="3" s="1"/>
  <c r="M79" i="3"/>
  <c r="AO79" i="3" s="1"/>
  <c r="X79" i="3"/>
  <c r="AZ79" i="3" s="1"/>
  <c r="AA79" i="3"/>
  <c r="BC79" i="3" s="1"/>
  <c r="AK92" i="3"/>
  <c r="BM92" i="3" s="1"/>
  <c r="AG92" i="3"/>
  <c r="BI92" i="3" s="1"/>
  <c r="AC92" i="3"/>
  <c r="BE92" i="3" s="1"/>
  <c r="Y92" i="3"/>
  <c r="BA92" i="3" s="1"/>
  <c r="AJ92" i="3"/>
  <c r="BL92" i="3" s="1"/>
  <c r="AF92" i="3"/>
  <c r="BH92" i="3" s="1"/>
  <c r="AB92" i="3"/>
  <c r="BD92" i="3" s="1"/>
  <c r="AL92" i="3"/>
  <c r="BN92" i="3" s="1"/>
  <c r="AH92" i="3"/>
  <c r="BJ92" i="3" s="1"/>
  <c r="AD92" i="3"/>
  <c r="BF92" i="3" s="1"/>
  <c r="Z92" i="3"/>
  <c r="BB92" i="3" s="1"/>
  <c r="W92" i="3"/>
  <c r="AY92" i="3" s="1"/>
  <c r="S92" i="3"/>
  <c r="AU92" i="3" s="1"/>
  <c r="AM92" i="3"/>
  <c r="BO92" i="3" s="1"/>
  <c r="AE92" i="3"/>
  <c r="BG92" i="3" s="1"/>
  <c r="V92" i="3"/>
  <c r="AX92" i="3" s="1"/>
  <c r="R92" i="3"/>
  <c r="AT92" i="3" s="1"/>
  <c r="U92" i="3"/>
  <c r="AW92" i="3" s="1"/>
  <c r="Q92" i="3"/>
  <c r="AS92" i="3" s="1"/>
  <c r="AI92" i="3"/>
  <c r="BK92" i="3" s="1"/>
  <c r="AA92" i="3"/>
  <c r="BC92" i="3" s="1"/>
  <c r="X92" i="3"/>
  <c r="AZ92" i="3" s="1"/>
  <c r="M92" i="3"/>
  <c r="AO92" i="3" s="1"/>
  <c r="P92" i="3"/>
  <c r="AR92" i="3" s="1"/>
  <c r="T92" i="3"/>
  <c r="AV92" i="3" s="1"/>
  <c r="O92" i="3"/>
  <c r="AQ92" i="3" s="1"/>
  <c r="N92" i="3"/>
  <c r="AP92" i="3" s="1"/>
  <c r="AK22" i="3"/>
  <c r="AC22" i="3"/>
  <c r="U22" i="3"/>
  <c r="AW22" i="3" s="1"/>
  <c r="M22" i="3"/>
  <c r="AO22" i="3" s="1"/>
  <c r="AL22" i="3"/>
  <c r="BN22" i="3" s="1"/>
  <c r="AD22" i="3"/>
  <c r="BF22" i="3" s="1"/>
  <c r="V22" i="3"/>
  <c r="AX22" i="3" s="1"/>
  <c r="N22" i="3"/>
  <c r="AP22" i="3" s="1"/>
  <c r="AF22" i="3"/>
  <c r="BH22" i="3" s="1"/>
  <c r="X22" i="3"/>
  <c r="AZ22" i="3" s="1"/>
  <c r="P22" i="3"/>
  <c r="AJ22" i="3"/>
  <c r="R22" i="3"/>
  <c r="AT22" i="3" s="1"/>
  <c r="AH22" i="3"/>
  <c r="BJ22" i="3" s="1"/>
  <c r="AB22" i="3"/>
  <c r="AA22" i="3"/>
  <c r="BC22" i="3" s="1"/>
  <c r="AI22" i="3"/>
  <c r="BK22" i="3" s="1"/>
  <c r="W22" i="3"/>
  <c r="AY22" i="3" s="1"/>
  <c r="Q22" i="3"/>
  <c r="O22" i="3"/>
  <c r="AQ22" i="3" s="1"/>
  <c r="AM22" i="3"/>
  <c r="BO22" i="3" s="1"/>
  <c r="AG22" i="3"/>
  <c r="BI22" i="3" s="1"/>
  <c r="Z22" i="3"/>
  <c r="BB22" i="3" s="1"/>
  <c r="AE22" i="3"/>
  <c r="BG22" i="3" s="1"/>
  <c r="Y22" i="3"/>
  <c r="BA22" i="3" s="1"/>
  <c r="T22" i="3"/>
  <c r="AV22" i="3" s="1"/>
  <c r="S22" i="3"/>
  <c r="AU22" i="3" s="1"/>
  <c r="AO38" i="3"/>
  <c r="I49" i="3"/>
  <c r="L49" i="3" s="1"/>
  <c r="I48" i="3"/>
  <c r="L48" i="3" s="1"/>
  <c r="O66" i="2"/>
  <c r="I66" i="3" s="1"/>
  <c r="L66" i="3" s="1"/>
  <c r="I65" i="3"/>
  <c r="L65" i="3" s="1"/>
  <c r="O96" i="2"/>
  <c r="I96" i="3" s="1"/>
  <c r="L96" i="3" s="1"/>
  <c r="I95" i="3"/>
  <c r="L95" i="3" s="1"/>
  <c r="I102" i="3"/>
  <c r="L102" i="3" s="1"/>
  <c r="I101" i="3"/>
  <c r="L101" i="3" s="1"/>
  <c r="O132" i="2"/>
  <c r="I132" i="3" s="1"/>
  <c r="L132" i="3" s="1"/>
  <c r="K105" i="2"/>
  <c r="O104" i="2"/>
  <c r="I104" i="3" s="1"/>
  <c r="L104" i="3" s="1"/>
  <c r="O111" i="2"/>
  <c r="I111" i="3" s="1"/>
  <c r="K112" i="2"/>
  <c r="O112" i="2" s="1"/>
  <c r="K130" i="2"/>
  <c r="O130" i="2" s="1"/>
  <c r="I129" i="3"/>
  <c r="L129" i="3" s="1"/>
  <c r="K81" i="2"/>
  <c r="O80" i="2"/>
  <c r="I80" i="3" s="1"/>
  <c r="L80" i="3" s="1"/>
  <c r="O69" i="2"/>
  <c r="I69" i="3" s="1"/>
  <c r="L69" i="3" s="1"/>
  <c r="K70" i="2"/>
  <c r="O68" i="2"/>
  <c r="I68" i="3" s="1"/>
  <c r="L68" i="3" s="1"/>
  <c r="I98" i="3" l="1"/>
  <c r="L98" i="3" s="1"/>
  <c r="L100" i="3"/>
  <c r="Y100" i="3"/>
  <c r="BA100" i="3" s="1"/>
  <c r="V100" i="3"/>
  <c r="AX100" i="3" s="1"/>
  <c r="AJ100" i="3"/>
  <c r="BL100" i="3" s="1"/>
  <c r="R100" i="3"/>
  <c r="AT100" i="3" s="1"/>
  <c r="AC100" i="3"/>
  <c r="BE100" i="3" s="1"/>
  <c r="AF100" i="3"/>
  <c r="BH100" i="3" s="1"/>
  <c r="U100" i="3"/>
  <c r="AW100" i="3" s="1"/>
  <c r="AB100" i="3"/>
  <c r="BD100" i="3" s="1"/>
  <c r="Q100" i="3"/>
  <c r="AS100" i="3" s="1"/>
  <c r="AL100" i="3"/>
  <c r="BN100" i="3" s="1"/>
  <c r="AM100" i="3"/>
  <c r="BO100" i="3" s="1"/>
  <c r="Z100" i="3"/>
  <c r="BB100" i="3" s="1"/>
  <c r="AA100" i="3"/>
  <c r="BC100" i="3" s="1"/>
  <c r="AH100" i="3"/>
  <c r="BJ100" i="3" s="1"/>
  <c r="T100" i="3"/>
  <c r="AV100" i="3" s="1"/>
  <c r="N100" i="3"/>
  <c r="AP100" i="3" s="1"/>
  <c r="AD100" i="3"/>
  <c r="BF100" i="3" s="1"/>
  <c r="M100" i="3"/>
  <c r="AO100" i="3" s="1"/>
  <c r="AE100" i="3"/>
  <c r="BG100" i="3" s="1"/>
  <c r="W100" i="3"/>
  <c r="AY100" i="3" s="1"/>
  <c r="P100" i="3"/>
  <c r="AR100" i="3" s="1"/>
  <c r="AK100" i="3"/>
  <c r="BM100" i="3" s="1"/>
  <c r="S100" i="3"/>
  <c r="AU100" i="3" s="1"/>
  <c r="X100" i="3"/>
  <c r="AZ100" i="3" s="1"/>
  <c r="AG100" i="3"/>
  <c r="BI100" i="3" s="1"/>
  <c r="AI100" i="3"/>
  <c r="BK100" i="3" s="1"/>
  <c r="O100" i="3"/>
  <c r="AQ100" i="3" s="1"/>
  <c r="W111" i="3"/>
  <c r="Y111" i="3"/>
  <c r="Z111" i="3"/>
  <c r="P111" i="3"/>
  <c r="AC111" i="3"/>
  <c r="S111" i="3"/>
  <c r="AF111" i="3"/>
  <c r="V111" i="3"/>
  <c r="L111" i="3"/>
  <c r="X111" i="3"/>
  <c r="N111" i="3"/>
  <c r="AA111" i="3"/>
  <c r="AB111" i="3"/>
  <c r="AD111" i="3"/>
  <c r="AE111" i="3"/>
  <c r="U111" i="3"/>
  <c r="M111" i="3"/>
  <c r="O111" i="3"/>
  <c r="Q111" i="3"/>
  <c r="R111" i="3"/>
  <c r="T111" i="3"/>
  <c r="AG111" i="3"/>
  <c r="K134" i="2"/>
  <c r="O133" i="2"/>
  <c r="I133" i="3" s="1"/>
  <c r="L133" i="3" s="1"/>
  <c r="AV37" i="3"/>
  <c r="BW122" i="3" s="1"/>
  <c r="BB37" i="3"/>
  <c r="BF37" i="3"/>
  <c r="CC122" i="3" s="1"/>
  <c r="BJ37" i="3"/>
  <c r="BY122" i="3" s="1"/>
  <c r="AX37" i="3"/>
  <c r="CB114" i="3" s="1"/>
  <c r="BI37" i="3"/>
  <c r="BN37" i="3"/>
  <c r="CD130" i="3" s="1"/>
  <c r="AZ37" i="3"/>
  <c r="CB130" i="3" s="1"/>
  <c r="AY37" i="3"/>
  <c r="CB122" i="3" s="1"/>
  <c r="AT37" i="3"/>
  <c r="BT133" i="3" s="1"/>
  <c r="BO37" i="3"/>
  <c r="CD138" i="3" s="1"/>
  <c r="AU37" i="3"/>
  <c r="AW37" i="3"/>
  <c r="BW130" i="3" s="1"/>
  <c r="BA37" i="3"/>
  <c r="CB138" i="3" s="1"/>
  <c r="BK37" i="3"/>
  <c r="BY130" i="3" s="1"/>
  <c r="BH37" i="3"/>
  <c r="CC138" i="3" s="1"/>
  <c r="BG37" i="3"/>
  <c r="CC130" i="3" s="1"/>
  <c r="BC37" i="3"/>
  <c r="BX122" i="3" s="1"/>
  <c r="AP37" i="3"/>
  <c r="BR133" i="3" s="1"/>
  <c r="AQ37" i="3"/>
  <c r="BS125" i="3" s="1"/>
  <c r="AB37" i="3"/>
  <c r="BD22" i="3"/>
  <c r="BD37" i="3" s="1"/>
  <c r="BX130" i="3" s="1"/>
  <c r="AJ37" i="3"/>
  <c r="BL22" i="3"/>
  <c r="BL37" i="3" s="1"/>
  <c r="CD114" i="3" s="1"/>
  <c r="Q37" i="3"/>
  <c r="AS22" i="3"/>
  <c r="AS37" i="3" s="1"/>
  <c r="BT125" i="3" s="1"/>
  <c r="P37" i="3"/>
  <c r="AR22" i="3"/>
  <c r="AR37" i="3" s="1"/>
  <c r="BS133" i="3" s="1"/>
  <c r="AC37" i="3"/>
  <c r="BE22" i="3"/>
  <c r="BE37" i="3" s="1"/>
  <c r="CC114" i="3" s="1"/>
  <c r="AK37" i="3"/>
  <c r="BM22" i="3"/>
  <c r="BM37" i="3" s="1"/>
  <c r="CD122" i="3" s="1"/>
  <c r="N37" i="3"/>
  <c r="Z37" i="3"/>
  <c r="AM37" i="3"/>
  <c r="R37" i="3"/>
  <c r="O37" i="3"/>
  <c r="AI37" i="3"/>
  <c r="AE37" i="3"/>
  <c r="AF37" i="3"/>
  <c r="AA37" i="3"/>
  <c r="AG37" i="3"/>
  <c r="AH37" i="3"/>
  <c r="AD37" i="3"/>
  <c r="AL37" i="3"/>
  <c r="AJ99" i="3"/>
  <c r="BL99" i="3" s="1"/>
  <c r="AF99" i="3"/>
  <c r="BH99" i="3" s="1"/>
  <c r="AB99" i="3"/>
  <c r="BD99" i="3" s="1"/>
  <c r="AI99" i="3"/>
  <c r="BK99" i="3" s="1"/>
  <c r="AA99" i="3"/>
  <c r="BC99" i="3" s="1"/>
  <c r="V99" i="3"/>
  <c r="AX99" i="3" s="1"/>
  <c r="R99" i="3"/>
  <c r="AT99" i="3" s="1"/>
  <c r="AL99" i="3"/>
  <c r="BN99" i="3" s="1"/>
  <c r="AD99" i="3"/>
  <c r="BF99" i="3" s="1"/>
  <c r="AG99" i="3"/>
  <c r="BI99" i="3" s="1"/>
  <c r="Y99" i="3"/>
  <c r="BA99" i="3" s="1"/>
  <c r="AM99" i="3"/>
  <c r="BO99" i="3" s="1"/>
  <c r="AE99" i="3"/>
  <c r="BG99" i="3" s="1"/>
  <c r="AH99" i="3"/>
  <c r="BJ99" i="3" s="1"/>
  <c r="T99" i="3"/>
  <c r="AV99" i="3" s="1"/>
  <c r="M99" i="3"/>
  <c r="AO99" i="3" s="1"/>
  <c r="AK99" i="3"/>
  <c r="BM99" i="3" s="1"/>
  <c r="Z99" i="3"/>
  <c r="BB99" i="3" s="1"/>
  <c r="P99" i="3"/>
  <c r="AR99" i="3" s="1"/>
  <c r="AC99" i="3"/>
  <c r="BE99" i="3" s="1"/>
  <c r="X99" i="3"/>
  <c r="AZ99" i="3" s="1"/>
  <c r="U99" i="3"/>
  <c r="AW99" i="3" s="1"/>
  <c r="W99" i="3"/>
  <c r="AY99" i="3" s="1"/>
  <c r="Q99" i="3"/>
  <c r="AS99" i="3" s="1"/>
  <c r="O99" i="3"/>
  <c r="AQ99" i="3" s="1"/>
  <c r="S99" i="3"/>
  <c r="AU99" i="3" s="1"/>
  <c r="N99" i="3"/>
  <c r="AP99" i="3" s="1"/>
  <c r="AL95" i="3"/>
  <c r="BN95" i="3" s="1"/>
  <c r="AH95" i="3"/>
  <c r="BJ95" i="3" s="1"/>
  <c r="AD95" i="3"/>
  <c r="BF95" i="3" s="1"/>
  <c r="Z95" i="3"/>
  <c r="BB95" i="3" s="1"/>
  <c r="AG95" i="3"/>
  <c r="BI95" i="3" s="1"/>
  <c r="Y95" i="3"/>
  <c r="BA95" i="3" s="1"/>
  <c r="X95" i="3"/>
  <c r="AZ95" i="3" s="1"/>
  <c r="T95" i="3"/>
  <c r="AV95" i="3" s="1"/>
  <c r="AJ95" i="3"/>
  <c r="BL95" i="3" s="1"/>
  <c r="AB95" i="3"/>
  <c r="BD95" i="3" s="1"/>
  <c r="AM95" i="3"/>
  <c r="BO95" i="3" s="1"/>
  <c r="AE95" i="3"/>
  <c r="BG95" i="3" s="1"/>
  <c r="W95" i="3"/>
  <c r="AY95" i="3" s="1"/>
  <c r="AK95" i="3"/>
  <c r="BM95" i="3" s="1"/>
  <c r="AC95" i="3"/>
  <c r="BE95" i="3" s="1"/>
  <c r="R95" i="3"/>
  <c r="AT95" i="3" s="1"/>
  <c r="O95" i="3"/>
  <c r="AQ95" i="3" s="1"/>
  <c r="V95" i="3"/>
  <c r="AX95" i="3" s="1"/>
  <c r="AF95" i="3"/>
  <c r="BH95" i="3" s="1"/>
  <c r="AA95" i="3"/>
  <c r="BC95" i="3" s="1"/>
  <c r="U95" i="3"/>
  <c r="AW95" i="3" s="1"/>
  <c r="Q95" i="3"/>
  <c r="AS95" i="3" s="1"/>
  <c r="N95" i="3"/>
  <c r="AP95" i="3" s="1"/>
  <c r="AI95" i="3"/>
  <c r="BK95" i="3" s="1"/>
  <c r="S95" i="3"/>
  <c r="AU95" i="3" s="1"/>
  <c r="M95" i="3"/>
  <c r="AO95" i="3" s="1"/>
  <c r="P95" i="3"/>
  <c r="AR95" i="3" s="1"/>
  <c r="O65" i="3"/>
  <c r="AQ65" i="3" s="1"/>
  <c r="W65" i="3"/>
  <c r="AY65" i="3" s="1"/>
  <c r="AE65" i="3"/>
  <c r="BG65" i="3" s="1"/>
  <c r="AM65" i="3"/>
  <c r="BO65" i="3" s="1"/>
  <c r="P65" i="3"/>
  <c r="AR65" i="3" s="1"/>
  <c r="X65" i="3"/>
  <c r="AZ65" i="3" s="1"/>
  <c r="AF65" i="3"/>
  <c r="BH65" i="3" s="1"/>
  <c r="M65" i="3"/>
  <c r="Q65" i="3"/>
  <c r="AS65" i="3" s="1"/>
  <c r="Y65" i="3"/>
  <c r="BA65" i="3" s="1"/>
  <c r="AG65" i="3"/>
  <c r="BI65" i="3" s="1"/>
  <c r="S65" i="3"/>
  <c r="AU65" i="3" s="1"/>
  <c r="AA65" i="3"/>
  <c r="BC65" i="3" s="1"/>
  <c r="AI65" i="3"/>
  <c r="BK65" i="3" s="1"/>
  <c r="T65" i="3"/>
  <c r="AV65" i="3" s="1"/>
  <c r="AB65" i="3"/>
  <c r="BD65" i="3" s="1"/>
  <c r="AJ65" i="3"/>
  <c r="BL65" i="3" s="1"/>
  <c r="AC65" i="3"/>
  <c r="BE65" i="3" s="1"/>
  <c r="AD65" i="3"/>
  <c r="BF65" i="3" s="1"/>
  <c r="AH65" i="3"/>
  <c r="BJ65" i="3" s="1"/>
  <c r="N65" i="3"/>
  <c r="AP65" i="3" s="1"/>
  <c r="AK65" i="3"/>
  <c r="BM65" i="3" s="1"/>
  <c r="R65" i="3"/>
  <c r="AT65" i="3" s="1"/>
  <c r="AL65" i="3"/>
  <c r="BN65" i="3" s="1"/>
  <c r="Z65" i="3"/>
  <c r="BB65" i="3" s="1"/>
  <c r="U65" i="3"/>
  <c r="AW65" i="3" s="1"/>
  <c r="V65" i="3"/>
  <c r="AX65" i="3" s="1"/>
  <c r="AK101" i="3"/>
  <c r="BM101" i="3" s="1"/>
  <c r="AG101" i="3"/>
  <c r="BI101" i="3" s="1"/>
  <c r="AC101" i="3"/>
  <c r="BE101" i="3" s="1"/>
  <c r="Y101" i="3"/>
  <c r="BA101" i="3" s="1"/>
  <c r="AF101" i="3"/>
  <c r="BH101" i="3" s="1"/>
  <c r="W101" i="3"/>
  <c r="AY101" i="3" s="1"/>
  <c r="S101" i="3"/>
  <c r="AU101" i="3" s="1"/>
  <c r="AI101" i="3"/>
  <c r="BK101" i="3" s="1"/>
  <c r="AA101" i="3"/>
  <c r="BC101" i="3" s="1"/>
  <c r="AL101" i="3"/>
  <c r="BN101" i="3" s="1"/>
  <c r="AD101" i="3"/>
  <c r="BF101" i="3" s="1"/>
  <c r="V101" i="3"/>
  <c r="AX101" i="3" s="1"/>
  <c r="AJ101" i="3"/>
  <c r="BL101" i="3" s="1"/>
  <c r="AB101" i="3"/>
  <c r="BD101" i="3" s="1"/>
  <c r="N101" i="3"/>
  <c r="AP101" i="3" s="1"/>
  <c r="AH101" i="3"/>
  <c r="BJ101" i="3" s="1"/>
  <c r="T101" i="3"/>
  <c r="AV101" i="3" s="1"/>
  <c r="M101" i="3"/>
  <c r="AO101" i="3" s="1"/>
  <c r="AE101" i="3"/>
  <c r="BG101" i="3" s="1"/>
  <c r="Z101" i="3"/>
  <c r="BB101" i="3" s="1"/>
  <c r="R101" i="3"/>
  <c r="AT101" i="3" s="1"/>
  <c r="U101" i="3"/>
  <c r="AW101" i="3" s="1"/>
  <c r="P101" i="3"/>
  <c r="AR101" i="3" s="1"/>
  <c r="X101" i="3"/>
  <c r="AZ101" i="3" s="1"/>
  <c r="Q101" i="3"/>
  <c r="AS101" i="3" s="1"/>
  <c r="AM101" i="3"/>
  <c r="BO101" i="3" s="1"/>
  <c r="O101" i="3"/>
  <c r="AQ101" i="3" s="1"/>
  <c r="AK69" i="3"/>
  <c r="BM69" i="3" s="1"/>
  <c r="AG69" i="3"/>
  <c r="BI69" i="3" s="1"/>
  <c r="AC69" i="3"/>
  <c r="BE69" i="3" s="1"/>
  <c r="Y69" i="3"/>
  <c r="BA69" i="3" s="1"/>
  <c r="AF69" i="3"/>
  <c r="BH69" i="3" s="1"/>
  <c r="X69" i="3"/>
  <c r="AZ69" i="3" s="1"/>
  <c r="W69" i="3"/>
  <c r="AY69" i="3" s="1"/>
  <c r="S69" i="3"/>
  <c r="AU69" i="3" s="1"/>
  <c r="AI69" i="3"/>
  <c r="BK69" i="3" s="1"/>
  <c r="AA69" i="3"/>
  <c r="BC69" i="3" s="1"/>
  <c r="AL69" i="3"/>
  <c r="BN69" i="3" s="1"/>
  <c r="AD69" i="3"/>
  <c r="BF69" i="3" s="1"/>
  <c r="V69" i="3"/>
  <c r="AX69" i="3" s="1"/>
  <c r="AJ69" i="3"/>
  <c r="BL69" i="3" s="1"/>
  <c r="AB69" i="3"/>
  <c r="BD69" i="3" s="1"/>
  <c r="N69" i="3"/>
  <c r="AP69" i="3" s="1"/>
  <c r="Q69" i="3"/>
  <c r="AS69" i="3" s="1"/>
  <c r="AM69" i="3"/>
  <c r="BO69" i="3" s="1"/>
  <c r="T69" i="3"/>
  <c r="AV69" i="3" s="1"/>
  <c r="M69" i="3"/>
  <c r="AO69" i="3" s="1"/>
  <c r="R69" i="3"/>
  <c r="AT69" i="3" s="1"/>
  <c r="P69" i="3"/>
  <c r="AR69" i="3" s="1"/>
  <c r="AH69" i="3"/>
  <c r="BJ69" i="3" s="1"/>
  <c r="AE69" i="3"/>
  <c r="BG69" i="3" s="1"/>
  <c r="Z69" i="3"/>
  <c r="BB69" i="3" s="1"/>
  <c r="O69" i="3"/>
  <c r="AQ69" i="3" s="1"/>
  <c r="U69" i="3"/>
  <c r="AW69" i="3" s="1"/>
  <c r="AM96" i="3"/>
  <c r="BO96" i="3" s="1"/>
  <c r="AI96" i="3"/>
  <c r="BK96" i="3" s="1"/>
  <c r="AE96" i="3"/>
  <c r="BG96" i="3" s="1"/>
  <c r="AA96" i="3"/>
  <c r="BC96" i="3" s="1"/>
  <c r="AL96" i="3"/>
  <c r="BN96" i="3" s="1"/>
  <c r="AH96" i="3"/>
  <c r="BJ96" i="3" s="1"/>
  <c r="AD96" i="3"/>
  <c r="BF96" i="3" s="1"/>
  <c r="Z96" i="3"/>
  <c r="BB96" i="3" s="1"/>
  <c r="AJ96" i="3"/>
  <c r="BL96" i="3" s="1"/>
  <c r="AF96" i="3"/>
  <c r="BH96" i="3" s="1"/>
  <c r="AB96" i="3"/>
  <c r="BD96" i="3" s="1"/>
  <c r="U96" i="3"/>
  <c r="AW96" i="3" s="1"/>
  <c r="Q96" i="3"/>
  <c r="AS96" i="3" s="1"/>
  <c r="AG96" i="3"/>
  <c r="BI96" i="3" s="1"/>
  <c r="Y96" i="3"/>
  <c r="BA96" i="3" s="1"/>
  <c r="X96" i="3"/>
  <c r="AZ96" i="3" s="1"/>
  <c r="T96" i="3"/>
  <c r="AV96" i="3" s="1"/>
  <c r="W96" i="3"/>
  <c r="AY96" i="3" s="1"/>
  <c r="S96" i="3"/>
  <c r="AU96" i="3" s="1"/>
  <c r="AK96" i="3"/>
  <c r="BM96" i="3" s="1"/>
  <c r="AC96" i="3"/>
  <c r="BE96" i="3" s="1"/>
  <c r="R96" i="3"/>
  <c r="AT96" i="3" s="1"/>
  <c r="O96" i="3"/>
  <c r="AQ96" i="3" s="1"/>
  <c r="V96" i="3"/>
  <c r="AX96" i="3" s="1"/>
  <c r="N96" i="3"/>
  <c r="AP96" i="3" s="1"/>
  <c r="M96" i="3"/>
  <c r="AO96" i="3" s="1"/>
  <c r="P96" i="3"/>
  <c r="AR96" i="3" s="1"/>
  <c r="AM104" i="3"/>
  <c r="BO104" i="3" s="1"/>
  <c r="AI104" i="3"/>
  <c r="BK104" i="3" s="1"/>
  <c r="AE104" i="3"/>
  <c r="BG104" i="3" s="1"/>
  <c r="AA104" i="3"/>
  <c r="BC104" i="3" s="1"/>
  <c r="AL104" i="3"/>
  <c r="BN104" i="3" s="1"/>
  <c r="AH104" i="3"/>
  <c r="BJ104" i="3" s="1"/>
  <c r="AD104" i="3"/>
  <c r="BF104" i="3" s="1"/>
  <c r="Z104" i="3"/>
  <c r="BB104" i="3" s="1"/>
  <c r="AJ104" i="3"/>
  <c r="BL104" i="3" s="1"/>
  <c r="AF104" i="3"/>
  <c r="BH104" i="3" s="1"/>
  <c r="AB104" i="3"/>
  <c r="BD104" i="3" s="1"/>
  <c r="U104" i="3"/>
  <c r="AW104" i="3" s="1"/>
  <c r="Q104" i="3"/>
  <c r="AS104" i="3" s="1"/>
  <c r="AK104" i="3"/>
  <c r="BM104" i="3" s="1"/>
  <c r="AC104" i="3"/>
  <c r="BE104" i="3" s="1"/>
  <c r="X104" i="3"/>
  <c r="AZ104" i="3" s="1"/>
  <c r="T104" i="3"/>
  <c r="AV104" i="3" s="1"/>
  <c r="W104" i="3"/>
  <c r="AY104" i="3" s="1"/>
  <c r="S104" i="3"/>
  <c r="AU104" i="3" s="1"/>
  <c r="AG104" i="3"/>
  <c r="BI104" i="3" s="1"/>
  <c r="O104" i="3"/>
  <c r="AQ104" i="3" s="1"/>
  <c r="Y104" i="3"/>
  <c r="BA104" i="3" s="1"/>
  <c r="N104" i="3"/>
  <c r="AP104" i="3" s="1"/>
  <c r="V104" i="3"/>
  <c r="AX104" i="3" s="1"/>
  <c r="R104" i="3"/>
  <c r="AT104" i="3" s="1"/>
  <c r="M104" i="3"/>
  <c r="AO104" i="3" s="1"/>
  <c r="P104" i="3"/>
  <c r="AR104" i="3" s="1"/>
  <c r="AJ66" i="3"/>
  <c r="BL66" i="3" s="1"/>
  <c r="AF66" i="3"/>
  <c r="BH66" i="3" s="1"/>
  <c r="AB66" i="3"/>
  <c r="BD66" i="3" s="1"/>
  <c r="X66" i="3"/>
  <c r="AZ66" i="3" s="1"/>
  <c r="AM66" i="3"/>
  <c r="BO66" i="3" s="1"/>
  <c r="AI66" i="3"/>
  <c r="BK66" i="3" s="1"/>
  <c r="AE66" i="3"/>
  <c r="BG66" i="3" s="1"/>
  <c r="AA66" i="3"/>
  <c r="BC66" i="3" s="1"/>
  <c r="AK66" i="3"/>
  <c r="BM66" i="3" s="1"/>
  <c r="AG66" i="3"/>
  <c r="BI66" i="3" s="1"/>
  <c r="AC66" i="3"/>
  <c r="BE66" i="3" s="1"/>
  <c r="Y66" i="3"/>
  <c r="BA66" i="3" s="1"/>
  <c r="V66" i="3"/>
  <c r="AX66" i="3" s="1"/>
  <c r="R66" i="3"/>
  <c r="AT66" i="3" s="1"/>
  <c r="AL66" i="3"/>
  <c r="BN66" i="3" s="1"/>
  <c r="AD66" i="3"/>
  <c r="BF66" i="3" s="1"/>
  <c r="U66" i="3"/>
  <c r="AW66" i="3" s="1"/>
  <c r="T66" i="3"/>
  <c r="AV66" i="3" s="1"/>
  <c r="P66" i="3"/>
  <c r="AR66" i="3" s="1"/>
  <c r="AH66" i="3"/>
  <c r="BJ66" i="3" s="1"/>
  <c r="Z66" i="3"/>
  <c r="BB66" i="3" s="1"/>
  <c r="O66" i="3"/>
  <c r="AQ66" i="3" s="1"/>
  <c r="S66" i="3"/>
  <c r="AU66" i="3" s="1"/>
  <c r="N66" i="3"/>
  <c r="AP66" i="3" s="1"/>
  <c r="Q66" i="3"/>
  <c r="AS66" i="3" s="1"/>
  <c r="W66" i="3"/>
  <c r="AY66" i="3" s="1"/>
  <c r="M66" i="3"/>
  <c r="AO66" i="3" s="1"/>
  <c r="AL102" i="3"/>
  <c r="BN102" i="3" s="1"/>
  <c r="AH102" i="3"/>
  <c r="BJ102" i="3" s="1"/>
  <c r="AD102" i="3"/>
  <c r="BF102" i="3" s="1"/>
  <c r="Z102" i="3"/>
  <c r="BB102" i="3" s="1"/>
  <c r="AK102" i="3"/>
  <c r="BM102" i="3" s="1"/>
  <c r="AG102" i="3"/>
  <c r="BI102" i="3" s="1"/>
  <c r="AC102" i="3"/>
  <c r="BE102" i="3" s="1"/>
  <c r="Y102" i="3"/>
  <c r="BA102" i="3" s="1"/>
  <c r="AM102" i="3"/>
  <c r="BO102" i="3" s="1"/>
  <c r="AI102" i="3"/>
  <c r="BK102" i="3" s="1"/>
  <c r="AE102" i="3"/>
  <c r="BG102" i="3" s="1"/>
  <c r="AA102" i="3"/>
  <c r="BC102" i="3" s="1"/>
  <c r="X102" i="3"/>
  <c r="AZ102" i="3" s="1"/>
  <c r="T102" i="3"/>
  <c r="AV102" i="3" s="1"/>
  <c r="AF102" i="3"/>
  <c r="BH102" i="3" s="1"/>
  <c r="W102" i="3"/>
  <c r="AY102" i="3" s="1"/>
  <c r="S102" i="3"/>
  <c r="AU102" i="3" s="1"/>
  <c r="V102" i="3"/>
  <c r="AX102" i="3" s="1"/>
  <c r="R102" i="3"/>
  <c r="AT102" i="3" s="1"/>
  <c r="AJ102" i="3"/>
  <c r="BL102" i="3" s="1"/>
  <c r="N102" i="3"/>
  <c r="AP102" i="3" s="1"/>
  <c r="AB102" i="3"/>
  <c r="BD102" i="3" s="1"/>
  <c r="M102" i="3"/>
  <c r="AO102" i="3" s="1"/>
  <c r="U102" i="3"/>
  <c r="AW102" i="3" s="1"/>
  <c r="P102" i="3"/>
  <c r="AR102" i="3" s="1"/>
  <c r="O102" i="3"/>
  <c r="AQ102" i="3" s="1"/>
  <c r="Q102" i="3"/>
  <c r="AS102" i="3" s="1"/>
  <c r="AM80" i="3"/>
  <c r="BO80" i="3" s="1"/>
  <c r="AI80" i="3"/>
  <c r="BK80" i="3" s="1"/>
  <c r="AE80" i="3"/>
  <c r="BG80" i="3" s="1"/>
  <c r="AA80" i="3"/>
  <c r="BC80" i="3" s="1"/>
  <c r="AL80" i="3"/>
  <c r="BN80" i="3" s="1"/>
  <c r="AH80" i="3"/>
  <c r="BJ80" i="3" s="1"/>
  <c r="AD80" i="3"/>
  <c r="BF80" i="3" s="1"/>
  <c r="Z80" i="3"/>
  <c r="BB80" i="3" s="1"/>
  <c r="AJ80" i="3"/>
  <c r="BL80" i="3" s="1"/>
  <c r="AF80" i="3"/>
  <c r="BH80" i="3" s="1"/>
  <c r="AB80" i="3"/>
  <c r="BD80" i="3" s="1"/>
  <c r="X80" i="3"/>
  <c r="AZ80" i="3" s="1"/>
  <c r="U80" i="3"/>
  <c r="AW80" i="3" s="1"/>
  <c r="Q80" i="3"/>
  <c r="AS80" i="3" s="1"/>
  <c r="AG80" i="3"/>
  <c r="BI80" i="3" s="1"/>
  <c r="Y80" i="3"/>
  <c r="BA80" i="3" s="1"/>
  <c r="T80" i="3"/>
  <c r="AV80" i="3" s="1"/>
  <c r="W80" i="3"/>
  <c r="AY80" i="3" s="1"/>
  <c r="S80" i="3"/>
  <c r="AU80" i="3" s="1"/>
  <c r="AK80" i="3"/>
  <c r="BM80" i="3" s="1"/>
  <c r="R80" i="3"/>
  <c r="AT80" i="3" s="1"/>
  <c r="O80" i="3"/>
  <c r="AQ80" i="3" s="1"/>
  <c r="P80" i="3"/>
  <c r="AR80" i="3" s="1"/>
  <c r="N80" i="3"/>
  <c r="AP80" i="3" s="1"/>
  <c r="V80" i="3"/>
  <c r="AX80" i="3" s="1"/>
  <c r="M80" i="3"/>
  <c r="AO80" i="3" s="1"/>
  <c r="AC80" i="3"/>
  <c r="BE80" i="3" s="1"/>
  <c r="AM129" i="3"/>
  <c r="BO129" i="3" s="1"/>
  <c r="AK129" i="3"/>
  <c r="BM129" i="3" s="1"/>
  <c r="AI129" i="3"/>
  <c r="BK129" i="3" s="1"/>
  <c r="AG129" i="3"/>
  <c r="BI129" i="3" s="1"/>
  <c r="AE129" i="3"/>
  <c r="BG129" i="3" s="1"/>
  <c r="AC129" i="3"/>
  <c r="BE129" i="3" s="1"/>
  <c r="AA129" i="3"/>
  <c r="BC129" i="3" s="1"/>
  <c r="Y129" i="3"/>
  <c r="BA129" i="3" s="1"/>
  <c r="W129" i="3"/>
  <c r="AY129" i="3" s="1"/>
  <c r="U129" i="3"/>
  <c r="AW129" i="3" s="1"/>
  <c r="S129" i="3"/>
  <c r="AU129" i="3" s="1"/>
  <c r="Q129" i="3"/>
  <c r="AS129" i="3" s="1"/>
  <c r="AL129" i="3"/>
  <c r="BN129" i="3" s="1"/>
  <c r="AJ129" i="3"/>
  <c r="BL129" i="3" s="1"/>
  <c r="AH129" i="3"/>
  <c r="BJ129" i="3" s="1"/>
  <c r="AF129" i="3"/>
  <c r="BH129" i="3" s="1"/>
  <c r="AD129" i="3"/>
  <c r="BF129" i="3" s="1"/>
  <c r="AB129" i="3"/>
  <c r="BD129" i="3" s="1"/>
  <c r="Z129" i="3"/>
  <c r="BB129" i="3" s="1"/>
  <c r="X129" i="3"/>
  <c r="AZ129" i="3" s="1"/>
  <c r="V129" i="3"/>
  <c r="AX129" i="3" s="1"/>
  <c r="T129" i="3"/>
  <c r="AV129" i="3" s="1"/>
  <c r="R129" i="3"/>
  <c r="AT129" i="3" s="1"/>
  <c r="P129" i="3"/>
  <c r="AR129" i="3" s="1"/>
  <c r="M129" i="3"/>
  <c r="AO129" i="3" s="1"/>
  <c r="O129" i="3"/>
  <c r="AQ129" i="3" s="1"/>
  <c r="N129" i="3"/>
  <c r="AP129" i="3" s="1"/>
  <c r="AL132" i="3"/>
  <c r="BN132" i="3" s="1"/>
  <c r="AJ132" i="3"/>
  <c r="BL132" i="3" s="1"/>
  <c r="AH132" i="3"/>
  <c r="BJ132" i="3" s="1"/>
  <c r="AF132" i="3"/>
  <c r="BH132" i="3" s="1"/>
  <c r="AD132" i="3"/>
  <c r="BF132" i="3" s="1"/>
  <c r="AM132" i="3"/>
  <c r="BO132" i="3" s="1"/>
  <c r="AK132" i="3"/>
  <c r="BM132" i="3" s="1"/>
  <c r="AI132" i="3"/>
  <c r="BK132" i="3" s="1"/>
  <c r="AG132" i="3"/>
  <c r="BI132" i="3" s="1"/>
  <c r="AE132" i="3"/>
  <c r="BG132" i="3" s="1"/>
  <c r="AC132" i="3"/>
  <c r="BE132" i="3" s="1"/>
  <c r="AA132" i="3"/>
  <c r="BC132" i="3" s="1"/>
  <c r="Y132" i="3"/>
  <c r="BA132" i="3" s="1"/>
  <c r="W132" i="3"/>
  <c r="AY132" i="3" s="1"/>
  <c r="U132" i="3"/>
  <c r="AW132" i="3" s="1"/>
  <c r="S132" i="3"/>
  <c r="AU132" i="3" s="1"/>
  <c r="Q132" i="3"/>
  <c r="AS132" i="3" s="1"/>
  <c r="N132" i="3"/>
  <c r="AP132" i="3" s="1"/>
  <c r="O132" i="3"/>
  <c r="AQ132" i="3" s="1"/>
  <c r="X132" i="3"/>
  <c r="AZ132" i="3" s="1"/>
  <c r="T132" i="3"/>
  <c r="AV132" i="3" s="1"/>
  <c r="M132" i="3"/>
  <c r="AO132" i="3" s="1"/>
  <c r="AB132" i="3"/>
  <c r="BD132" i="3" s="1"/>
  <c r="P132" i="3"/>
  <c r="AR132" i="3" s="1"/>
  <c r="R132" i="3"/>
  <c r="AT132" i="3" s="1"/>
  <c r="V132" i="3"/>
  <c r="AX132" i="3" s="1"/>
  <c r="Z132" i="3"/>
  <c r="BB132" i="3" s="1"/>
  <c r="AM48" i="3"/>
  <c r="BO48" i="3" s="1"/>
  <c r="AL48" i="3"/>
  <c r="BN48" i="3" s="1"/>
  <c r="AI48" i="3"/>
  <c r="BK48" i="3" s="1"/>
  <c r="AF48" i="3"/>
  <c r="BH48" i="3" s="1"/>
  <c r="AB48" i="3"/>
  <c r="BD48" i="3" s="1"/>
  <c r="T48" i="3"/>
  <c r="AV48" i="3" s="1"/>
  <c r="R48" i="3"/>
  <c r="AT48" i="3" s="1"/>
  <c r="AA48" i="3"/>
  <c r="BC48" i="3" s="1"/>
  <c r="S48" i="3"/>
  <c r="AU48" i="3" s="1"/>
  <c r="AK48" i="3"/>
  <c r="BM48" i="3" s="1"/>
  <c r="AH48" i="3"/>
  <c r="BJ48" i="3" s="1"/>
  <c r="Z48" i="3"/>
  <c r="BB48" i="3" s="1"/>
  <c r="Y48" i="3"/>
  <c r="BA48" i="3" s="1"/>
  <c r="Q48" i="3"/>
  <c r="AS48" i="3" s="1"/>
  <c r="AG48" i="3"/>
  <c r="BI48" i="3" s="1"/>
  <c r="AC48" i="3"/>
  <c r="BE48" i="3" s="1"/>
  <c r="X48" i="3"/>
  <c r="AZ48" i="3" s="1"/>
  <c r="P48" i="3"/>
  <c r="AR48" i="3" s="1"/>
  <c r="AD48" i="3"/>
  <c r="BF48" i="3" s="1"/>
  <c r="W48" i="3"/>
  <c r="AY48" i="3" s="1"/>
  <c r="O48" i="3"/>
  <c r="AQ48" i="3" s="1"/>
  <c r="AE48" i="3"/>
  <c r="BG48" i="3" s="1"/>
  <c r="U48" i="3"/>
  <c r="AW48" i="3" s="1"/>
  <c r="M48" i="3"/>
  <c r="AO48" i="3" s="1"/>
  <c r="V48" i="3"/>
  <c r="AX48" i="3" s="1"/>
  <c r="N48" i="3"/>
  <c r="AP48" i="3" s="1"/>
  <c r="AJ48" i="3"/>
  <c r="BL48" i="3" s="1"/>
  <c r="AK68" i="3"/>
  <c r="BM68" i="3" s="1"/>
  <c r="AG68" i="3"/>
  <c r="BI68" i="3" s="1"/>
  <c r="AC68" i="3"/>
  <c r="BE68" i="3" s="1"/>
  <c r="Y68" i="3"/>
  <c r="BA68" i="3" s="1"/>
  <c r="AJ68" i="3"/>
  <c r="BL68" i="3" s="1"/>
  <c r="AF68" i="3"/>
  <c r="BH68" i="3" s="1"/>
  <c r="AB68" i="3"/>
  <c r="BD68" i="3" s="1"/>
  <c r="X68" i="3"/>
  <c r="AZ68" i="3" s="1"/>
  <c r="AL68" i="3"/>
  <c r="BN68" i="3" s="1"/>
  <c r="AH68" i="3"/>
  <c r="BJ68" i="3" s="1"/>
  <c r="AD68" i="3"/>
  <c r="BF68" i="3" s="1"/>
  <c r="Z68" i="3"/>
  <c r="BB68" i="3" s="1"/>
  <c r="W68" i="3"/>
  <c r="AY68" i="3" s="1"/>
  <c r="S68" i="3"/>
  <c r="AU68" i="3" s="1"/>
  <c r="AI68" i="3"/>
  <c r="BK68" i="3" s="1"/>
  <c r="AA68" i="3"/>
  <c r="BC68" i="3" s="1"/>
  <c r="V68" i="3"/>
  <c r="AX68" i="3" s="1"/>
  <c r="R68" i="3"/>
  <c r="AT68" i="3" s="1"/>
  <c r="U68" i="3"/>
  <c r="AW68" i="3" s="1"/>
  <c r="Q68" i="3"/>
  <c r="AS68" i="3" s="1"/>
  <c r="AM68" i="3"/>
  <c r="BO68" i="3" s="1"/>
  <c r="T68" i="3"/>
  <c r="AV68" i="3" s="1"/>
  <c r="M68" i="3"/>
  <c r="AO68" i="3" s="1"/>
  <c r="P68" i="3"/>
  <c r="AR68" i="3" s="1"/>
  <c r="AE68" i="3"/>
  <c r="BG68" i="3" s="1"/>
  <c r="O68" i="3"/>
  <c r="AQ68" i="3" s="1"/>
  <c r="N68" i="3"/>
  <c r="AP68" i="3" s="1"/>
  <c r="AL133" i="3"/>
  <c r="BN133" i="3" s="1"/>
  <c r="AJ133" i="3"/>
  <c r="BL133" i="3" s="1"/>
  <c r="AH133" i="3"/>
  <c r="BJ133" i="3" s="1"/>
  <c r="AF133" i="3"/>
  <c r="BH133" i="3" s="1"/>
  <c r="AD133" i="3"/>
  <c r="BF133" i="3" s="1"/>
  <c r="AB133" i="3"/>
  <c r="BD133" i="3" s="1"/>
  <c r="X133" i="3"/>
  <c r="AZ133" i="3" s="1"/>
  <c r="R133" i="3"/>
  <c r="AT133" i="3" s="1"/>
  <c r="AM133" i="3"/>
  <c r="BO133" i="3" s="1"/>
  <c r="AK133" i="3"/>
  <c r="BM133" i="3" s="1"/>
  <c r="AI133" i="3"/>
  <c r="BK133" i="3" s="1"/>
  <c r="AG133" i="3"/>
  <c r="BI133" i="3" s="1"/>
  <c r="AE133" i="3"/>
  <c r="BG133" i="3" s="1"/>
  <c r="AC133" i="3"/>
  <c r="BE133" i="3" s="1"/>
  <c r="AA133" i="3"/>
  <c r="BC133" i="3" s="1"/>
  <c r="Y133" i="3"/>
  <c r="BA133" i="3" s="1"/>
  <c r="W133" i="3"/>
  <c r="AY133" i="3" s="1"/>
  <c r="Q133" i="3"/>
  <c r="AS133" i="3" s="1"/>
  <c r="N133" i="3"/>
  <c r="AP133" i="3" s="1"/>
  <c r="M133" i="3"/>
  <c r="AO133" i="3" s="1"/>
  <c r="P133" i="3"/>
  <c r="AR133" i="3" s="1"/>
  <c r="O133" i="3"/>
  <c r="AQ133" i="3" s="1"/>
  <c r="AF49" i="3"/>
  <c r="BH49" i="3" s="1"/>
  <c r="AM49" i="3"/>
  <c r="BO49" i="3" s="1"/>
  <c r="AJ49" i="3"/>
  <c r="BL49" i="3" s="1"/>
  <c r="AC49" i="3"/>
  <c r="BE49" i="3" s="1"/>
  <c r="U49" i="3"/>
  <c r="AW49" i="3" s="1"/>
  <c r="M49" i="3"/>
  <c r="AO49" i="3" s="1"/>
  <c r="S49" i="3"/>
  <c r="AU49" i="3" s="1"/>
  <c r="AB49" i="3"/>
  <c r="BD49" i="3" s="1"/>
  <c r="T49" i="3"/>
  <c r="AV49" i="3" s="1"/>
  <c r="AA49" i="3"/>
  <c r="BC49" i="3" s="1"/>
  <c r="AK49" i="3"/>
  <c r="BM49" i="3" s="1"/>
  <c r="AH49" i="3"/>
  <c r="BJ49" i="3" s="1"/>
  <c r="Z49" i="3"/>
  <c r="BB49" i="3" s="1"/>
  <c r="R49" i="3"/>
  <c r="AT49" i="3" s="1"/>
  <c r="AI49" i="3"/>
  <c r="BK49" i="3" s="1"/>
  <c r="AG49" i="3"/>
  <c r="BI49" i="3" s="1"/>
  <c r="Y49" i="3"/>
  <c r="BA49" i="3" s="1"/>
  <c r="V49" i="3"/>
  <c r="AX49" i="3" s="1"/>
  <c r="AL49" i="3"/>
  <c r="BN49" i="3" s="1"/>
  <c r="X49" i="3"/>
  <c r="AZ49" i="3" s="1"/>
  <c r="P49" i="3"/>
  <c r="AR49" i="3" s="1"/>
  <c r="Q49" i="3"/>
  <c r="AS49" i="3" s="1"/>
  <c r="N49" i="3"/>
  <c r="AP49" i="3" s="1"/>
  <c r="AE49" i="3"/>
  <c r="BG49" i="3" s="1"/>
  <c r="AD49" i="3"/>
  <c r="BF49" i="3" s="1"/>
  <c r="W49" i="3"/>
  <c r="AY49" i="3" s="1"/>
  <c r="O49" i="3"/>
  <c r="AQ49" i="3" s="1"/>
  <c r="M37" i="3"/>
  <c r="AO37" i="3"/>
  <c r="BR125" i="3" s="1"/>
  <c r="AO127" i="3"/>
  <c r="T37" i="3"/>
  <c r="X37" i="3"/>
  <c r="U37" i="3"/>
  <c r="AO109" i="3"/>
  <c r="V37" i="3"/>
  <c r="W37" i="3"/>
  <c r="Y37" i="3"/>
  <c r="S37" i="3"/>
  <c r="I51" i="3"/>
  <c r="L51" i="3" s="1"/>
  <c r="I50" i="3"/>
  <c r="L50" i="3" s="1"/>
  <c r="K106" i="2"/>
  <c r="O106" i="2" s="1"/>
  <c r="O105" i="2"/>
  <c r="I105" i="3" s="1"/>
  <c r="L105" i="3" s="1"/>
  <c r="K113" i="2"/>
  <c r="O113" i="2" s="1"/>
  <c r="I112" i="3"/>
  <c r="L112" i="3" s="1"/>
  <c r="I130" i="3"/>
  <c r="L130" i="3" s="1"/>
  <c r="K131" i="2"/>
  <c r="O70" i="2"/>
  <c r="I70" i="3" s="1"/>
  <c r="K71" i="2"/>
  <c r="K82" i="2"/>
  <c r="O81" i="2"/>
  <c r="I81" i="3" s="1"/>
  <c r="L81" i="3" s="1"/>
  <c r="O53" i="2"/>
  <c r="I42" i="3"/>
  <c r="L42" i="3" s="1"/>
  <c r="W98" i="3" l="1"/>
  <c r="AY98" i="3" s="1"/>
  <c r="AK98" i="3"/>
  <c r="BM98" i="3" s="1"/>
  <c r="R98" i="3"/>
  <c r="AT98" i="3" s="1"/>
  <c r="AJ98" i="3"/>
  <c r="BL98" i="3" s="1"/>
  <c r="X98" i="3"/>
  <c r="AZ98" i="3" s="1"/>
  <c r="M98" i="3"/>
  <c r="AO98" i="3" s="1"/>
  <c r="S98" i="3"/>
  <c r="AU98" i="3" s="1"/>
  <c r="Q98" i="3"/>
  <c r="AS98" i="3" s="1"/>
  <c r="Z98" i="3"/>
  <c r="BB98" i="3" s="1"/>
  <c r="AH98" i="3"/>
  <c r="BJ98" i="3" s="1"/>
  <c r="T98" i="3"/>
  <c r="AV98" i="3" s="1"/>
  <c r="V98" i="3"/>
  <c r="AX98" i="3" s="1"/>
  <c r="AI98" i="3"/>
  <c r="BK98" i="3" s="1"/>
  <c r="O98" i="3"/>
  <c r="AQ98" i="3" s="1"/>
  <c r="Y98" i="3"/>
  <c r="BA98" i="3" s="1"/>
  <c r="AC98" i="3"/>
  <c r="BE98" i="3" s="1"/>
  <c r="S133" i="3"/>
  <c r="AU133" i="3" s="1"/>
  <c r="T133" i="3"/>
  <c r="AV133" i="3" s="1"/>
  <c r="U133" i="3"/>
  <c r="AW133" i="3" s="1"/>
  <c r="V133" i="3"/>
  <c r="AX133" i="3" s="1"/>
  <c r="Z133" i="3"/>
  <c r="BB133" i="3" s="1"/>
  <c r="P98" i="3"/>
  <c r="AR98" i="3" s="1"/>
  <c r="AG98" i="3"/>
  <c r="BI98" i="3" s="1"/>
  <c r="AA98" i="3"/>
  <c r="BC98" i="3" s="1"/>
  <c r="AE98" i="3"/>
  <c r="BG98" i="3" s="1"/>
  <c r="U98" i="3"/>
  <c r="AW98" i="3" s="1"/>
  <c r="AM98" i="3"/>
  <c r="BO98" i="3" s="1"/>
  <c r="AD98" i="3"/>
  <c r="BF98" i="3" s="1"/>
  <c r="AB98" i="3"/>
  <c r="BD98" i="3" s="1"/>
  <c r="N98" i="3"/>
  <c r="AP98" i="3" s="1"/>
  <c r="AL98" i="3"/>
  <c r="BN98" i="3" s="1"/>
  <c r="AF98" i="3"/>
  <c r="BH98" i="3" s="1"/>
  <c r="O131" i="2"/>
  <c r="I131" i="3" s="1"/>
  <c r="L70" i="3"/>
  <c r="Z70" i="3"/>
  <c r="BB70" i="3" s="1"/>
  <c r="BW114" i="3"/>
  <c r="BX114" i="3"/>
  <c r="BY114" i="3"/>
  <c r="K135" i="2"/>
  <c r="O134" i="2"/>
  <c r="I134" i="3" s="1"/>
  <c r="L134" i="3" s="1"/>
  <c r="AM81" i="3"/>
  <c r="BO81" i="3" s="1"/>
  <c r="AI81" i="3"/>
  <c r="BK81" i="3" s="1"/>
  <c r="AE81" i="3"/>
  <c r="BG81" i="3" s="1"/>
  <c r="AA81" i="3"/>
  <c r="BC81" i="3" s="1"/>
  <c r="AL81" i="3"/>
  <c r="BN81" i="3" s="1"/>
  <c r="AD81" i="3"/>
  <c r="BF81" i="3" s="1"/>
  <c r="U81" i="3"/>
  <c r="AW81" i="3" s="1"/>
  <c r="Q81" i="3"/>
  <c r="AS81" i="3" s="1"/>
  <c r="AG81" i="3"/>
  <c r="BI81" i="3" s="1"/>
  <c r="Y81" i="3"/>
  <c r="BA81" i="3" s="1"/>
  <c r="AJ81" i="3"/>
  <c r="BL81" i="3" s="1"/>
  <c r="AB81" i="3"/>
  <c r="BD81" i="3" s="1"/>
  <c r="AH81" i="3"/>
  <c r="BJ81" i="3" s="1"/>
  <c r="Z81" i="3"/>
  <c r="BB81" i="3" s="1"/>
  <c r="AF81" i="3"/>
  <c r="BH81" i="3" s="1"/>
  <c r="R81" i="3"/>
  <c r="AT81" i="3" s="1"/>
  <c r="O81" i="3"/>
  <c r="AQ81" i="3" s="1"/>
  <c r="P81" i="3"/>
  <c r="AR81" i="3" s="1"/>
  <c r="W81" i="3"/>
  <c r="AY81" i="3" s="1"/>
  <c r="S81" i="3"/>
  <c r="AU81" i="3" s="1"/>
  <c r="N81" i="3"/>
  <c r="AP81" i="3" s="1"/>
  <c r="V81" i="3"/>
  <c r="AX81" i="3" s="1"/>
  <c r="AK81" i="3"/>
  <c r="BM81" i="3" s="1"/>
  <c r="M81" i="3"/>
  <c r="AO81" i="3" s="1"/>
  <c r="AC81" i="3"/>
  <c r="BE81" i="3" s="1"/>
  <c r="X81" i="3"/>
  <c r="AZ81" i="3" s="1"/>
  <c r="T81" i="3"/>
  <c r="AV81" i="3" s="1"/>
  <c r="AM105" i="3"/>
  <c r="BO105" i="3" s="1"/>
  <c r="AI105" i="3"/>
  <c r="BK105" i="3" s="1"/>
  <c r="AE105" i="3"/>
  <c r="BG105" i="3" s="1"/>
  <c r="AA105" i="3"/>
  <c r="BC105" i="3" s="1"/>
  <c r="AH105" i="3"/>
  <c r="BJ105" i="3" s="1"/>
  <c r="Z105" i="3"/>
  <c r="BB105" i="3" s="1"/>
  <c r="U105" i="3"/>
  <c r="AW105" i="3" s="1"/>
  <c r="Q105" i="3"/>
  <c r="AS105" i="3" s="1"/>
  <c r="AK105" i="3"/>
  <c r="BM105" i="3" s="1"/>
  <c r="AC105" i="3"/>
  <c r="BE105" i="3" s="1"/>
  <c r="AF105" i="3"/>
  <c r="BH105" i="3" s="1"/>
  <c r="X105" i="3"/>
  <c r="AZ105" i="3" s="1"/>
  <c r="AL105" i="3"/>
  <c r="BN105" i="3" s="1"/>
  <c r="AD105" i="3"/>
  <c r="BF105" i="3" s="1"/>
  <c r="S105" i="3"/>
  <c r="AU105" i="3" s="1"/>
  <c r="P105" i="3"/>
  <c r="AR105" i="3" s="1"/>
  <c r="O105" i="3"/>
  <c r="AQ105" i="3" s="1"/>
  <c r="Y105" i="3"/>
  <c r="BA105" i="3" s="1"/>
  <c r="T105" i="3"/>
  <c r="AV105" i="3" s="1"/>
  <c r="AB105" i="3"/>
  <c r="BD105" i="3" s="1"/>
  <c r="N105" i="3"/>
  <c r="AP105" i="3" s="1"/>
  <c r="W105" i="3"/>
  <c r="AY105" i="3" s="1"/>
  <c r="AG105" i="3"/>
  <c r="BI105" i="3" s="1"/>
  <c r="R105" i="3"/>
  <c r="AT105" i="3" s="1"/>
  <c r="AJ105" i="3"/>
  <c r="BL105" i="3" s="1"/>
  <c r="V105" i="3"/>
  <c r="AX105" i="3" s="1"/>
  <c r="M105" i="3"/>
  <c r="AO105" i="3" s="1"/>
  <c r="AL70" i="3"/>
  <c r="BN70" i="3" s="1"/>
  <c r="AH70" i="3"/>
  <c r="BJ70" i="3" s="1"/>
  <c r="AD70" i="3"/>
  <c r="BF70" i="3" s="1"/>
  <c r="AK70" i="3"/>
  <c r="BM70" i="3" s="1"/>
  <c r="AG70" i="3"/>
  <c r="BI70" i="3" s="1"/>
  <c r="AC70" i="3"/>
  <c r="BE70" i="3" s="1"/>
  <c r="Y70" i="3"/>
  <c r="BA70" i="3" s="1"/>
  <c r="AM70" i="3"/>
  <c r="BO70" i="3" s="1"/>
  <c r="AI70" i="3"/>
  <c r="BK70" i="3" s="1"/>
  <c r="AE70" i="3"/>
  <c r="BG70" i="3" s="1"/>
  <c r="AA70" i="3"/>
  <c r="BC70" i="3" s="1"/>
  <c r="T70" i="3"/>
  <c r="AV70" i="3" s="1"/>
  <c r="P70" i="3"/>
  <c r="AR70" i="3" s="1"/>
  <c r="AF70" i="3"/>
  <c r="BH70" i="3" s="1"/>
  <c r="X70" i="3"/>
  <c r="AZ70" i="3" s="1"/>
  <c r="W70" i="3"/>
  <c r="AY70" i="3" s="1"/>
  <c r="S70" i="3"/>
  <c r="AU70" i="3" s="1"/>
  <c r="V70" i="3"/>
  <c r="AX70" i="3" s="1"/>
  <c r="R70" i="3"/>
  <c r="AT70" i="3" s="1"/>
  <c r="AJ70" i="3"/>
  <c r="BL70" i="3" s="1"/>
  <c r="U70" i="3"/>
  <c r="AW70" i="3" s="1"/>
  <c r="N70" i="3"/>
  <c r="AP70" i="3" s="1"/>
  <c r="Q70" i="3"/>
  <c r="AS70" i="3" s="1"/>
  <c r="M70" i="3"/>
  <c r="AO70" i="3" s="1"/>
  <c r="AB70" i="3"/>
  <c r="BD70" i="3" s="1"/>
  <c r="O70" i="3"/>
  <c r="AQ70" i="3" s="1"/>
  <c r="AL112" i="3"/>
  <c r="BN112" i="3" s="1"/>
  <c r="AH112" i="3"/>
  <c r="BJ112" i="3" s="1"/>
  <c r="AD112" i="3"/>
  <c r="BF112" i="3" s="1"/>
  <c r="Z112" i="3"/>
  <c r="BB112" i="3" s="1"/>
  <c r="V112" i="3"/>
  <c r="AX112" i="3" s="1"/>
  <c r="AM112" i="3"/>
  <c r="BO112" i="3" s="1"/>
  <c r="AI112" i="3"/>
  <c r="BK112" i="3" s="1"/>
  <c r="AE112" i="3"/>
  <c r="BG112" i="3" s="1"/>
  <c r="AA112" i="3"/>
  <c r="BC112" i="3" s="1"/>
  <c r="W112" i="3"/>
  <c r="AY112" i="3" s="1"/>
  <c r="AJ112" i="3"/>
  <c r="BL112" i="3" s="1"/>
  <c r="AF112" i="3"/>
  <c r="AB112" i="3"/>
  <c r="BD112" i="3" s="1"/>
  <c r="X112" i="3"/>
  <c r="AZ112" i="3" s="1"/>
  <c r="T112" i="3"/>
  <c r="AV112" i="3" s="1"/>
  <c r="P112" i="3"/>
  <c r="AR112" i="3" s="1"/>
  <c r="AK112" i="3"/>
  <c r="BM112" i="3" s="1"/>
  <c r="AC112" i="3"/>
  <c r="BE112" i="3" s="1"/>
  <c r="Q112" i="3"/>
  <c r="AS112" i="3" s="1"/>
  <c r="M112" i="3"/>
  <c r="AO112" i="3" s="1"/>
  <c r="AG112" i="3"/>
  <c r="BI112" i="3" s="1"/>
  <c r="N112" i="3"/>
  <c r="AP112" i="3" s="1"/>
  <c r="S112" i="3"/>
  <c r="AU112" i="3" s="1"/>
  <c r="U112" i="3"/>
  <c r="AW112" i="3" s="1"/>
  <c r="R112" i="3"/>
  <c r="AT112" i="3" s="1"/>
  <c r="Y112" i="3"/>
  <c r="BA112" i="3" s="1"/>
  <c r="O112" i="3"/>
  <c r="AQ112" i="3" s="1"/>
  <c r="AG50" i="3"/>
  <c r="BI50" i="3" s="1"/>
  <c r="AF50" i="3"/>
  <c r="BH50" i="3" s="1"/>
  <c r="AK50" i="3"/>
  <c r="BM50" i="3" s="1"/>
  <c r="AJ50" i="3"/>
  <c r="BL50" i="3" s="1"/>
  <c r="AD50" i="3"/>
  <c r="BF50" i="3" s="1"/>
  <c r="V50" i="3"/>
  <c r="AX50" i="3" s="1"/>
  <c r="N50" i="3"/>
  <c r="AP50" i="3" s="1"/>
  <c r="T50" i="3"/>
  <c r="AV50" i="3" s="1"/>
  <c r="AC50" i="3"/>
  <c r="BE50" i="3" s="1"/>
  <c r="U50" i="3"/>
  <c r="AW50" i="3" s="1"/>
  <c r="M50" i="3"/>
  <c r="AO50" i="3" s="1"/>
  <c r="AM50" i="3"/>
  <c r="BO50" i="3" s="1"/>
  <c r="AB50" i="3"/>
  <c r="BD50" i="3" s="1"/>
  <c r="AA50" i="3"/>
  <c r="BC50" i="3" s="1"/>
  <c r="S50" i="3"/>
  <c r="AU50" i="3" s="1"/>
  <c r="AH50" i="3"/>
  <c r="BJ50" i="3" s="1"/>
  <c r="Z50" i="3"/>
  <c r="BB50" i="3" s="1"/>
  <c r="R50" i="3"/>
  <c r="AT50" i="3" s="1"/>
  <c r="Y50" i="3"/>
  <c r="BA50" i="3" s="1"/>
  <c r="Q50" i="3"/>
  <c r="AS50" i="3" s="1"/>
  <c r="X50" i="3"/>
  <c r="AZ50" i="3" s="1"/>
  <c r="P50" i="3"/>
  <c r="AR50" i="3" s="1"/>
  <c r="AL50" i="3"/>
  <c r="BN50" i="3" s="1"/>
  <c r="AI50" i="3"/>
  <c r="BK50" i="3" s="1"/>
  <c r="AE50" i="3"/>
  <c r="BG50" i="3" s="1"/>
  <c r="O50" i="3"/>
  <c r="AQ50" i="3" s="1"/>
  <c r="W50" i="3"/>
  <c r="AY50" i="3" s="1"/>
  <c r="AG42" i="3"/>
  <c r="BI42" i="3" s="1"/>
  <c r="AF42" i="3"/>
  <c r="BH42" i="3" s="1"/>
  <c r="AK42" i="3"/>
  <c r="BM42" i="3" s="1"/>
  <c r="AD42" i="3"/>
  <c r="BF42" i="3" s="1"/>
  <c r="V42" i="3"/>
  <c r="AX42" i="3" s="1"/>
  <c r="N42" i="3"/>
  <c r="AP42" i="3" s="1"/>
  <c r="T42" i="3"/>
  <c r="AV42" i="3" s="1"/>
  <c r="AI42" i="3"/>
  <c r="BK42" i="3" s="1"/>
  <c r="AC42" i="3"/>
  <c r="BE42" i="3" s="1"/>
  <c r="U42" i="3"/>
  <c r="AW42" i="3" s="1"/>
  <c r="M42" i="3"/>
  <c r="AO42" i="3" s="1"/>
  <c r="AL42" i="3"/>
  <c r="BN42" i="3" s="1"/>
  <c r="AB42" i="3"/>
  <c r="BD42" i="3" s="1"/>
  <c r="AA42" i="3"/>
  <c r="BC42" i="3" s="1"/>
  <c r="S42" i="3"/>
  <c r="AU42" i="3" s="1"/>
  <c r="AJ42" i="3"/>
  <c r="BL42" i="3" s="1"/>
  <c r="AH42" i="3"/>
  <c r="BJ42" i="3" s="1"/>
  <c r="AE42" i="3"/>
  <c r="BG42" i="3" s="1"/>
  <c r="R42" i="3"/>
  <c r="AT42" i="3" s="1"/>
  <c r="Y42" i="3"/>
  <c r="BA42" i="3" s="1"/>
  <c r="Q42" i="3"/>
  <c r="AS42" i="3" s="1"/>
  <c r="AM42" i="3"/>
  <c r="BO42" i="3" s="1"/>
  <c r="W42" i="3"/>
  <c r="AY42" i="3" s="1"/>
  <c r="O42" i="3"/>
  <c r="AQ42" i="3" s="1"/>
  <c r="Z42" i="3"/>
  <c r="BB42" i="3" s="1"/>
  <c r="X42" i="3"/>
  <c r="AZ42" i="3" s="1"/>
  <c r="P42" i="3"/>
  <c r="AR42" i="3" s="1"/>
  <c r="AM130" i="3"/>
  <c r="BO130" i="3" s="1"/>
  <c r="AK130" i="3"/>
  <c r="BM130" i="3" s="1"/>
  <c r="AI130" i="3"/>
  <c r="BK130" i="3" s="1"/>
  <c r="AG130" i="3"/>
  <c r="BI130" i="3" s="1"/>
  <c r="AE130" i="3"/>
  <c r="BG130" i="3" s="1"/>
  <c r="AC130" i="3"/>
  <c r="BE130" i="3" s="1"/>
  <c r="AJ130" i="3"/>
  <c r="BL130" i="3" s="1"/>
  <c r="X130" i="3"/>
  <c r="AZ130" i="3" s="1"/>
  <c r="T130" i="3"/>
  <c r="AV130" i="3" s="1"/>
  <c r="AB130" i="3"/>
  <c r="BD130" i="3" s="1"/>
  <c r="P130" i="3"/>
  <c r="AR130" i="3" s="1"/>
  <c r="M130" i="3"/>
  <c r="AO130" i="3" s="1"/>
  <c r="AL130" i="3"/>
  <c r="BN130" i="3" s="1"/>
  <c r="AD130" i="3"/>
  <c r="BF130" i="3" s="1"/>
  <c r="Y130" i="3"/>
  <c r="BA130" i="3" s="1"/>
  <c r="U130" i="3"/>
  <c r="AW130" i="3" s="1"/>
  <c r="Q130" i="3"/>
  <c r="AS130" i="3" s="1"/>
  <c r="AF130" i="3"/>
  <c r="Z130" i="3"/>
  <c r="BB130" i="3" s="1"/>
  <c r="V130" i="3"/>
  <c r="AX130" i="3" s="1"/>
  <c r="R130" i="3"/>
  <c r="AT130" i="3" s="1"/>
  <c r="O130" i="3"/>
  <c r="AQ130" i="3" s="1"/>
  <c r="N130" i="3"/>
  <c r="AP130" i="3" s="1"/>
  <c r="W130" i="3"/>
  <c r="AY130" i="3" s="1"/>
  <c r="AA130" i="3"/>
  <c r="BC130" i="3" s="1"/>
  <c r="S130" i="3"/>
  <c r="AU130" i="3" s="1"/>
  <c r="AH130" i="3"/>
  <c r="BJ130" i="3" s="1"/>
  <c r="AI51" i="3"/>
  <c r="BK51" i="3" s="1"/>
  <c r="AH51" i="3"/>
  <c r="BJ51" i="3" s="1"/>
  <c r="AG51" i="3"/>
  <c r="BI51" i="3" s="1"/>
  <c r="AM51" i="3"/>
  <c r="BO51" i="3" s="1"/>
  <c r="AL51" i="3"/>
  <c r="BN51" i="3" s="1"/>
  <c r="AE51" i="3"/>
  <c r="BG51" i="3" s="1"/>
  <c r="W51" i="3"/>
  <c r="AY51" i="3" s="1"/>
  <c r="O51" i="3"/>
  <c r="AQ51" i="3" s="1"/>
  <c r="U51" i="3"/>
  <c r="AW51" i="3" s="1"/>
  <c r="AJ51" i="3"/>
  <c r="BL51" i="3" s="1"/>
  <c r="AF51" i="3"/>
  <c r="BH51" i="3" s="1"/>
  <c r="AD51" i="3"/>
  <c r="BF51" i="3" s="1"/>
  <c r="V51" i="3"/>
  <c r="AX51" i="3" s="1"/>
  <c r="N51" i="3"/>
  <c r="AP51" i="3" s="1"/>
  <c r="AC51" i="3"/>
  <c r="BE51" i="3" s="1"/>
  <c r="AB51" i="3"/>
  <c r="BD51" i="3" s="1"/>
  <c r="T51" i="3"/>
  <c r="AV51" i="3" s="1"/>
  <c r="AA51" i="3"/>
  <c r="BC51" i="3" s="1"/>
  <c r="AK51" i="3"/>
  <c r="BM51" i="3" s="1"/>
  <c r="Z51" i="3"/>
  <c r="BB51" i="3" s="1"/>
  <c r="R51" i="3"/>
  <c r="AT51" i="3" s="1"/>
  <c r="M51" i="3"/>
  <c r="AO51" i="3" s="1"/>
  <c r="S51" i="3"/>
  <c r="AU51" i="3" s="1"/>
  <c r="X51" i="3"/>
  <c r="AZ51" i="3" s="1"/>
  <c r="P51" i="3"/>
  <c r="AR51" i="3" s="1"/>
  <c r="Y51" i="3"/>
  <c r="BA51" i="3" s="1"/>
  <c r="Q51" i="3"/>
  <c r="AS51" i="3" s="1"/>
  <c r="AO65" i="3"/>
  <c r="O107" i="2"/>
  <c r="I107" i="3" s="1"/>
  <c r="L107" i="3" s="1"/>
  <c r="I106" i="3"/>
  <c r="L106" i="3" s="1"/>
  <c r="I52" i="3"/>
  <c r="L52" i="3" s="1"/>
  <c r="K114" i="2"/>
  <c r="O114" i="2" s="1"/>
  <c r="O115" i="2" s="1"/>
  <c r="I113" i="3"/>
  <c r="L113" i="3" s="1"/>
  <c r="K72" i="2"/>
  <c r="O72" i="2" s="1"/>
  <c r="O71" i="2"/>
  <c r="I71" i="3" s="1"/>
  <c r="K83" i="2"/>
  <c r="O82" i="2"/>
  <c r="I82" i="3" s="1"/>
  <c r="L82" i="3" s="1"/>
  <c r="K55" i="2"/>
  <c r="O54" i="2"/>
  <c r="I53" i="3" s="1"/>
  <c r="L53" i="3" s="1"/>
  <c r="L131" i="3" l="1"/>
  <c r="AK131" i="3"/>
  <c r="BM131" i="3" s="1"/>
  <c r="M131" i="3"/>
  <c r="AO131" i="3" s="1"/>
  <c r="N131" i="3"/>
  <c r="AP131" i="3" s="1"/>
  <c r="AI131" i="3"/>
  <c r="BK131" i="3" s="1"/>
  <c r="AJ131" i="3"/>
  <c r="BL131" i="3" s="1"/>
  <c r="AH131" i="3"/>
  <c r="BJ131" i="3" s="1"/>
  <c r="AG131" i="3"/>
  <c r="BI131" i="3" s="1"/>
  <c r="X131" i="3"/>
  <c r="AZ131" i="3" s="1"/>
  <c r="AE131" i="3"/>
  <c r="BG131" i="3" s="1"/>
  <c r="T131" i="3"/>
  <c r="AV131" i="3" s="1"/>
  <c r="AC131" i="3"/>
  <c r="BE131" i="3" s="1"/>
  <c r="R131" i="3"/>
  <c r="AT131" i="3" s="1"/>
  <c r="W131" i="3"/>
  <c r="AY131" i="3" s="1"/>
  <c r="AA131" i="3"/>
  <c r="BC131" i="3" s="1"/>
  <c r="AB131" i="3"/>
  <c r="BD131" i="3" s="1"/>
  <c r="AM131" i="3"/>
  <c r="BO131" i="3" s="1"/>
  <c r="O131" i="3"/>
  <c r="AQ131" i="3" s="1"/>
  <c r="V131" i="3"/>
  <c r="AX131" i="3" s="1"/>
  <c r="Y131" i="3"/>
  <c r="BA131" i="3" s="1"/>
  <c r="P131" i="3"/>
  <c r="AR131" i="3" s="1"/>
  <c r="AL131" i="3"/>
  <c r="BN131" i="3" s="1"/>
  <c r="U131" i="3"/>
  <c r="AW131" i="3" s="1"/>
  <c r="AD131" i="3"/>
  <c r="BF131" i="3" s="1"/>
  <c r="S131" i="3"/>
  <c r="AU131" i="3" s="1"/>
  <c r="AF131" i="3"/>
  <c r="BH131" i="3" s="1"/>
  <c r="Q131" i="3"/>
  <c r="AS131" i="3" s="1"/>
  <c r="Z131" i="3"/>
  <c r="BB131" i="3" s="1"/>
  <c r="L71" i="3"/>
  <c r="V71" i="3"/>
  <c r="AX71" i="3" s="1"/>
  <c r="AD134" i="3"/>
  <c r="BF134" i="3" s="1"/>
  <c r="AI134" i="3"/>
  <c r="BK134" i="3" s="1"/>
  <c r="AB134" i="3"/>
  <c r="BD134" i="3" s="1"/>
  <c r="Y134" i="3"/>
  <c r="BA134" i="3" s="1"/>
  <c r="AA134" i="3"/>
  <c r="BC134" i="3" s="1"/>
  <c r="M134" i="3"/>
  <c r="AO134" i="3" s="1"/>
  <c r="S134" i="3"/>
  <c r="AU134" i="3" s="1"/>
  <c r="W134" i="3"/>
  <c r="AY134" i="3" s="1"/>
  <c r="AC134" i="3"/>
  <c r="BE134" i="3" s="1"/>
  <c r="R134" i="3"/>
  <c r="AT134" i="3" s="1"/>
  <c r="AG134" i="3"/>
  <c r="BI134" i="3" s="1"/>
  <c r="AK134" i="3"/>
  <c r="BM134" i="3" s="1"/>
  <c r="AM134" i="3"/>
  <c r="BO134" i="3" s="1"/>
  <c r="AL134" i="3"/>
  <c r="BN134" i="3" s="1"/>
  <c r="N134" i="3"/>
  <c r="AP134" i="3" s="1"/>
  <c r="O134" i="3"/>
  <c r="AQ134" i="3" s="1"/>
  <c r="U134" i="3"/>
  <c r="AW134" i="3" s="1"/>
  <c r="AE134" i="3"/>
  <c r="BG134" i="3" s="1"/>
  <c r="Q134" i="3"/>
  <c r="AS134" i="3" s="1"/>
  <c r="AJ134" i="3"/>
  <c r="BL134" i="3" s="1"/>
  <c r="X134" i="3"/>
  <c r="AZ134" i="3" s="1"/>
  <c r="V134" i="3"/>
  <c r="AX134" i="3" s="1"/>
  <c r="AH134" i="3"/>
  <c r="BJ134" i="3" s="1"/>
  <c r="T134" i="3"/>
  <c r="AV134" i="3" s="1"/>
  <c r="Z134" i="3"/>
  <c r="BB134" i="3" s="1"/>
  <c r="AF134" i="3"/>
  <c r="BH134" i="3" s="1"/>
  <c r="P134" i="3"/>
  <c r="AR134" i="3" s="1"/>
  <c r="K136" i="2"/>
  <c r="O135" i="2"/>
  <c r="I135" i="3" s="1"/>
  <c r="L135" i="3" s="1"/>
  <c r="BH112" i="3"/>
  <c r="BH130" i="3"/>
  <c r="AL71" i="3"/>
  <c r="BN71" i="3" s="1"/>
  <c r="AH71" i="3"/>
  <c r="BJ71" i="3" s="1"/>
  <c r="AD71" i="3"/>
  <c r="BF71" i="3" s="1"/>
  <c r="Z71" i="3"/>
  <c r="BB71" i="3" s="1"/>
  <c r="AK71" i="3"/>
  <c r="BM71" i="3" s="1"/>
  <c r="AC71" i="3"/>
  <c r="BE71" i="3" s="1"/>
  <c r="T71" i="3"/>
  <c r="AV71" i="3" s="1"/>
  <c r="P71" i="3"/>
  <c r="AR71" i="3" s="1"/>
  <c r="AF71" i="3"/>
  <c r="BH71" i="3" s="1"/>
  <c r="X71" i="3"/>
  <c r="AZ71" i="3" s="1"/>
  <c r="AI71" i="3"/>
  <c r="BK71" i="3" s="1"/>
  <c r="AA71" i="3"/>
  <c r="BC71" i="3" s="1"/>
  <c r="W71" i="3"/>
  <c r="AY71" i="3" s="1"/>
  <c r="AG71" i="3"/>
  <c r="BI71" i="3" s="1"/>
  <c r="Y71" i="3"/>
  <c r="BA71" i="3" s="1"/>
  <c r="O71" i="3"/>
  <c r="AQ71" i="3" s="1"/>
  <c r="U71" i="3"/>
  <c r="AW71" i="3" s="1"/>
  <c r="AJ71" i="3"/>
  <c r="BL71" i="3" s="1"/>
  <c r="N71" i="3"/>
  <c r="AP71" i="3" s="1"/>
  <c r="AM71" i="3"/>
  <c r="BO71" i="3" s="1"/>
  <c r="Q71" i="3"/>
  <c r="AS71" i="3" s="1"/>
  <c r="R71" i="3"/>
  <c r="AT71" i="3" s="1"/>
  <c r="M71" i="3"/>
  <c r="AO71" i="3" s="1"/>
  <c r="AB71" i="3"/>
  <c r="AE71" i="3"/>
  <c r="BG71" i="3" s="1"/>
  <c r="S71" i="3"/>
  <c r="AU71" i="3" s="1"/>
  <c r="AL113" i="3"/>
  <c r="BN113" i="3" s="1"/>
  <c r="AH113" i="3"/>
  <c r="BJ113" i="3" s="1"/>
  <c r="AD113" i="3"/>
  <c r="BF113" i="3" s="1"/>
  <c r="Z113" i="3"/>
  <c r="BB113" i="3" s="1"/>
  <c r="V113" i="3"/>
  <c r="AX113" i="3" s="1"/>
  <c r="AJ113" i="3"/>
  <c r="BL113" i="3" s="1"/>
  <c r="AM113" i="3"/>
  <c r="BO113" i="3" s="1"/>
  <c r="AI113" i="3"/>
  <c r="BK113" i="3" s="1"/>
  <c r="AE113" i="3"/>
  <c r="BG113" i="3" s="1"/>
  <c r="AA113" i="3"/>
  <c r="BC113" i="3" s="1"/>
  <c r="W113" i="3"/>
  <c r="AY113" i="3" s="1"/>
  <c r="Y113" i="3"/>
  <c r="BA113" i="3" s="1"/>
  <c r="S113" i="3"/>
  <c r="AU113" i="3" s="1"/>
  <c r="AG113" i="3"/>
  <c r="BI113" i="3" s="1"/>
  <c r="N113" i="3"/>
  <c r="AP113" i="3" s="1"/>
  <c r="O113" i="3"/>
  <c r="AQ113" i="3" s="1"/>
  <c r="AF113" i="3"/>
  <c r="BH113" i="3" s="1"/>
  <c r="T113" i="3"/>
  <c r="AV113" i="3" s="1"/>
  <c r="P113" i="3"/>
  <c r="AR113" i="3" s="1"/>
  <c r="AK113" i="3"/>
  <c r="BM113" i="3" s="1"/>
  <c r="AC113" i="3"/>
  <c r="BE113" i="3" s="1"/>
  <c r="U113" i="3"/>
  <c r="AW113" i="3" s="1"/>
  <c r="AB113" i="3"/>
  <c r="BD113" i="3" s="1"/>
  <c r="X113" i="3"/>
  <c r="AZ113" i="3" s="1"/>
  <c r="Q113" i="3"/>
  <c r="AS113" i="3" s="1"/>
  <c r="M113" i="3"/>
  <c r="AO113" i="3" s="1"/>
  <c r="R113" i="3"/>
  <c r="AT113" i="3" s="1"/>
  <c r="AK53" i="3"/>
  <c r="BM53" i="3" s="1"/>
  <c r="AJ53" i="3"/>
  <c r="BL53" i="3" s="1"/>
  <c r="AI53" i="3"/>
  <c r="BK53" i="3" s="1"/>
  <c r="AL53" i="3"/>
  <c r="BN53" i="3" s="1"/>
  <c r="Y53" i="3"/>
  <c r="BA53" i="3" s="1"/>
  <c r="Q53" i="3"/>
  <c r="AS53" i="3" s="1"/>
  <c r="X53" i="3"/>
  <c r="AZ53" i="3" s="1"/>
  <c r="P53" i="3"/>
  <c r="AR53" i="3" s="1"/>
  <c r="W53" i="3"/>
  <c r="AY53" i="3" s="1"/>
  <c r="O53" i="3"/>
  <c r="AQ53" i="3" s="1"/>
  <c r="AE53" i="3"/>
  <c r="BG53" i="3" s="1"/>
  <c r="AM53" i="3"/>
  <c r="BO53" i="3" s="1"/>
  <c r="AF53" i="3"/>
  <c r="BH53" i="3" s="1"/>
  <c r="AD53" i="3"/>
  <c r="BF53" i="3" s="1"/>
  <c r="V53" i="3"/>
  <c r="AX53" i="3" s="1"/>
  <c r="N53" i="3"/>
  <c r="AP53" i="3" s="1"/>
  <c r="AC53" i="3"/>
  <c r="BE53" i="3" s="1"/>
  <c r="T53" i="3"/>
  <c r="AV53" i="3" s="1"/>
  <c r="AH53" i="3"/>
  <c r="BJ53" i="3" s="1"/>
  <c r="U53" i="3"/>
  <c r="AW53" i="3" s="1"/>
  <c r="AG53" i="3"/>
  <c r="BI53" i="3" s="1"/>
  <c r="AB53" i="3"/>
  <c r="BD53" i="3" s="1"/>
  <c r="Z53" i="3"/>
  <c r="BB53" i="3" s="1"/>
  <c r="R53" i="3"/>
  <c r="AT53" i="3" s="1"/>
  <c r="M53" i="3"/>
  <c r="AO53" i="3" s="1"/>
  <c r="AA53" i="3"/>
  <c r="BC53" i="3" s="1"/>
  <c r="S53" i="3"/>
  <c r="AU53" i="3" s="1"/>
  <c r="AJ82" i="3"/>
  <c r="BL82" i="3" s="1"/>
  <c r="AF82" i="3"/>
  <c r="BH82" i="3" s="1"/>
  <c r="AB82" i="3"/>
  <c r="BD82" i="3" s="1"/>
  <c r="X82" i="3"/>
  <c r="AZ82" i="3" s="1"/>
  <c r="AM82" i="3"/>
  <c r="BO82" i="3" s="1"/>
  <c r="AI82" i="3"/>
  <c r="BK82" i="3" s="1"/>
  <c r="AE82" i="3"/>
  <c r="BG82" i="3" s="1"/>
  <c r="AA82" i="3"/>
  <c r="BC82" i="3" s="1"/>
  <c r="AK82" i="3"/>
  <c r="BM82" i="3" s="1"/>
  <c r="AG82" i="3"/>
  <c r="BI82" i="3" s="1"/>
  <c r="AC82" i="3"/>
  <c r="BE82" i="3" s="1"/>
  <c r="Y82" i="3"/>
  <c r="BA82" i="3" s="1"/>
  <c r="V82" i="3"/>
  <c r="AX82" i="3" s="1"/>
  <c r="R82" i="3"/>
  <c r="AT82" i="3" s="1"/>
  <c r="AL82" i="3"/>
  <c r="BN82" i="3" s="1"/>
  <c r="AD82" i="3"/>
  <c r="BF82" i="3" s="1"/>
  <c r="U82" i="3"/>
  <c r="AW82" i="3" s="1"/>
  <c r="T82" i="3"/>
  <c r="AV82" i="3" s="1"/>
  <c r="P82" i="3"/>
  <c r="AR82" i="3" s="1"/>
  <c r="AH82" i="3"/>
  <c r="BJ82" i="3" s="1"/>
  <c r="Q82" i="3"/>
  <c r="AS82" i="3" s="1"/>
  <c r="O82" i="3"/>
  <c r="AQ82" i="3" s="1"/>
  <c r="W82" i="3"/>
  <c r="AY82" i="3" s="1"/>
  <c r="S82" i="3"/>
  <c r="AU82" i="3" s="1"/>
  <c r="N82" i="3"/>
  <c r="AP82" i="3" s="1"/>
  <c r="M82" i="3"/>
  <c r="AO82" i="3" s="1"/>
  <c r="Z82" i="3"/>
  <c r="BB82" i="3" s="1"/>
  <c r="AJ52" i="3"/>
  <c r="BL52" i="3" s="1"/>
  <c r="AI52" i="3"/>
  <c r="BK52" i="3" s="1"/>
  <c r="AH52" i="3"/>
  <c r="BJ52" i="3" s="1"/>
  <c r="AM52" i="3"/>
  <c r="BO52" i="3" s="1"/>
  <c r="X52" i="3"/>
  <c r="AZ52" i="3" s="1"/>
  <c r="P52" i="3"/>
  <c r="AR52" i="3" s="1"/>
  <c r="N52" i="3"/>
  <c r="AP52" i="3" s="1"/>
  <c r="AE52" i="3"/>
  <c r="BG52" i="3" s="1"/>
  <c r="W52" i="3"/>
  <c r="AY52" i="3" s="1"/>
  <c r="O52" i="3"/>
  <c r="AQ52" i="3" s="1"/>
  <c r="V52" i="3"/>
  <c r="AX52" i="3" s="1"/>
  <c r="AF52" i="3"/>
  <c r="BH52" i="3" s="1"/>
  <c r="AD52" i="3"/>
  <c r="BF52" i="3" s="1"/>
  <c r="AC52" i="3"/>
  <c r="BE52" i="3" s="1"/>
  <c r="U52" i="3"/>
  <c r="AW52" i="3" s="1"/>
  <c r="M52" i="3"/>
  <c r="AO52" i="3" s="1"/>
  <c r="AB52" i="3"/>
  <c r="BD52" i="3" s="1"/>
  <c r="AK52" i="3"/>
  <c r="BM52" i="3" s="1"/>
  <c r="AA52" i="3"/>
  <c r="BC52" i="3" s="1"/>
  <c r="S52" i="3"/>
  <c r="AU52" i="3" s="1"/>
  <c r="AG52" i="3"/>
  <c r="BI52" i="3" s="1"/>
  <c r="Z52" i="3"/>
  <c r="BB52" i="3" s="1"/>
  <c r="R52" i="3"/>
  <c r="AT52" i="3" s="1"/>
  <c r="AL52" i="3"/>
  <c r="BN52" i="3" s="1"/>
  <c r="Y52" i="3"/>
  <c r="BA52" i="3" s="1"/>
  <c r="T52" i="3"/>
  <c r="AV52" i="3" s="1"/>
  <c r="Q52" i="3"/>
  <c r="AS52" i="3" s="1"/>
  <c r="AJ106" i="3"/>
  <c r="BL106" i="3" s="1"/>
  <c r="AF106" i="3"/>
  <c r="BH106" i="3" s="1"/>
  <c r="AB106" i="3"/>
  <c r="BD106" i="3" s="1"/>
  <c r="AM106" i="3"/>
  <c r="BO106" i="3" s="1"/>
  <c r="AI106" i="3"/>
  <c r="BK106" i="3" s="1"/>
  <c r="AE106" i="3"/>
  <c r="BG106" i="3" s="1"/>
  <c r="AA106" i="3"/>
  <c r="BC106" i="3" s="1"/>
  <c r="AK106" i="3"/>
  <c r="BM106" i="3" s="1"/>
  <c r="AG106" i="3"/>
  <c r="BI106" i="3" s="1"/>
  <c r="AC106" i="3"/>
  <c r="BE106" i="3" s="1"/>
  <c r="Y106" i="3"/>
  <c r="BA106" i="3" s="1"/>
  <c r="V106" i="3"/>
  <c r="AX106" i="3" s="1"/>
  <c r="R106" i="3"/>
  <c r="AT106" i="3" s="1"/>
  <c r="AH106" i="3"/>
  <c r="BJ106" i="3" s="1"/>
  <c r="Z106" i="3"/>
  <c r="BB106" i="3" s="1"/>
  <c r="U106" i="3"/>
  <c r="AW106" i="3" s="1"/>
  <c r="X106" i="3"/>
  <c r="AZ106" i="3" s="1"/>
  <c r="T106" i="3"/>
  <c r="AV106" i="3" s="1"/>
  <c r="AL106" i="3"/>
  <c r="BN106" i="3" s="1"/>
  <c r="Q106" i="3"/>
  <c r="AS106" i="3" s="1"/>
  <c r="S106" i="3"/>
  <c r="AU106" i="3" s="1"/>
  <c r="P106" i="3"/>
  <c r="AR106" i="3" s="1"/>
  <c r="AD106" i="3"/>
  <c r="BF106" i="3" s="1"/>
  <c r="O106" i="3"/>
  <c r="AQ106" i="3" s="1"/>
  <c r="N106" i="3"/>
  <c r="AP106" i="3" s="1"/>
  <c r="W106" i="3"/>
  <c r="AY106" i="3" s="1"/>
  <c r="M106" i="3"/>
  <c r="AO106" i="3" s="1"/>
  <c r="AJ107" i="3"/>
  <c r="BL107" i="3" s="1"/>
  <c r="AF107" i="3"/>
  <c r="BH107" i="3" s="1"/>
  <c r="AB107" i="3"/>
  <c r="BD107" i="3" s="1"/>
  <c r="AM107" i="3"/>
  <c r="BO107" i="3" s="1"/>
  <c r="AE107" i="3"/>
  <c r="BG107" i="3" s="1"/>
  <c r="V107" i="3"/>
  <c r="AX107" i="3" s="1"/>
  <c r="R107" i="3"/>
  <c r="AT107" i="3" s="1"/>
  <c r="AH107" i="3"/>
  <c r="BJ107" i="3" s="1"/>
  <c r="Z107" i="3"/>
  <c r="BB107" i="3" s="1"/>
  <c r="AK107" i="3"/>
  <c r="BM107" i="3" s="1"/>
  <c r="AC107" i="3"/>
  <c r="BE107" i="3" s="1"/>
  <c r="AI107" i="3"/>
  <c r="BK107" i="3" s="1"/>
  <c r="AA107" i="3"/>
  <c r="BC107" i="3" s="1"/>
  <c r="M107" i="3"/>
  <c r="AO107" i="3" s="1"/>
  <c r="Q107" i="3"/>
  <c r="AS107" i="3" s="1"/>
  <c r="S107" i="3"/>
  <c r="AU107" i="3" s="1"/>
  <c r="P107" i="3"/>
  <c r="AR107" i="3" s="1"/>
  <c r="AL107" i="3"/>
  <c r="BN107" i="3" s="1"/>
  <c r="AD107" i="3"/>
  <c r="BF107" i="3" s="1"/>
  <c r="Y107" i="3"/>
  <c r="BA107" i="3" s="1"/>
  <c r="T107" i="3"/>
  <c r="AV107" i="3" s="1"/>
  <c r="O107" i="3"/>
  <c r="AQ107" i="3" s="1"/>
  <c r="W107" i="3"/>
  <c r="AY107" i="3" s="1"/>
  <c r="U107" i="3"/>
  <c r="AW107" i="3" s="1"/>
  <c r="AG107" i="3"/>
  <c r="BI107" i="3" s="1"/>
  <c r="X107" i="3"/>
  <c r="AZ107" i="3" s="1"/>
  <c r="N107" i="3"/>
  <c r="AP107" i="3" s="1"/>
  <c r="K116" i="2"/>
  <c r="K85" i="2"/>
  <c r="O83" i="2"/>
  <c r="K73" i="2"/>
  <c r="I72" i="3"/>
  <c r="L72" i="3" s="1"/>
  <c r="K56" i="2"/>
  <c r="O55" i="2"/>
  <c r="I54" i="3" s="1"/>
  <c r="L54" i="3" s="1"/>
  <c r="K86" i="2" l="1"/>
  <c r="O86" i="2" s="1"/>
  <c r="I86" i="3" s="1"/>
  <c r="L86" i="3" s="1"/>
  <c r="O85" i="2"/>
  <c r="I85" i="3" s="1"/>
  <c r="X135" i="3"/>
  <c r="AZ135" i="3" s="1"/>
  <c r="S135" i="3"/>
  <c r="AU135" i="3" s="1"/>
  <c r="V135" i="3"/>
  <c r="AX135" i="3" s="1"/>
  <c r="U135" i="3"/>
  <c r="AW135" i="3" s="1"/>
  <c r="T135" i="3"/>
  <c r="AV135" i="3" s="1"/>
  <c r="M135" i="3"/>
  <c r="AO135" i="3" s="1"/>
  <c r="AG135" i="3"/>
  <c r="BI135" i="3" s="1"/>
  <c r="AB135" i="3"/>
  <c r="BD135" i="3" s="1"/>
  <c r="W135" i="3"/>
  <c r="AY135" i="3" s="1"/>
  <c r="AF135" i="3"/>
  <c r="BH135" i="3" s="1"/>
  <c r="AE135" i="3"/>
  <c r="BG135" i="3" s="1"/>
  <c r="R135" i="3"/>
  <c r="AT135" i="3" s="1"/>
  <c r="Z135" i="3"/>
  <c r="BB135" i="3" s="1"/>
  <c r="P135" i="3"/>
  <c r="AR135" i="3" s="1"/>
  <c r="AI135" i="3"/>
  <c r="BK135" i="3" s="1"/>
  <c r="AM135" i="3"/>
  <c r="BO135" i="3" s="1"/>
  <c r="AL135" i="3"/>
  <c r="BN135" i="3" s="1"/>
  <c r="N135" i="3"/>
  <c r="AP135" i="3" s="1"/>
  <c r="Q135" i="3"/>
  <c r="AS135" i="3" s="1"/>
  <c r="AA135" i="3"/>
  <c r="BC135" i="3" s="1"/>
  <c r="AJ135" i="3"/>
  <c r="BL135" i="3" s="1"/>
  <c r="O135" i="3"/>
  <c r="AQ135" i="3" s="1"/>
  <c r="AC135" i="3"/>
  <c r="BE135" i="3" s="1"/>
  <c r="AH135" i="3"/>
  <c r="BJ135" i="3" s="1"/>
  <c r="AK135" i="3"/>
  <c r="BM135" i="3" s="1"/>
  <c r="AD135" i="3"/>
  <c r="BF135" i="3" s="1"/>
  <c r="Y135" i="3"/>
  <c r="BA135" i="3" s="1"/>
  <c r="K137" i="2"/>
  <c r="O136" i="2"/>
  <c r="I136" i="3" s="1"/>
  <c r="L136" i="3" s="1"/>
  <c r="BD71" i="3"/>
  <c r="AM72" i="3"/>
  <c r="BO72" i="3" s="1"/>
  <c r="AI72" i="3"/>
  <c r="BK72" i="3" s="1"/>
  <c r="AE72" i="3"/>
  <c r="BG72" i="3" s="1"/>
  <c r="AA72" i="3"/>
  <c r="BC72" i="3" s="1"/>
  <c r="AL72" i="3"/>
  <c r="BN72" i="3" s="1"/>
  <c r="AH72" i="3"/>
  <c r="BJ72" i="3" s="1"/>
  <c r="AD72" i="3"/>
  <c r="BF72" i="3" s="1"/>
  <c r="Z72" i="3"/>
  <c r="BB72" i="3" s="1"/>
  <c r="AJ72" i="3"/>
  <c r="BL72" i="3" s="1"/>
  <c r="AF72" i="3"/>
  <c r="BH72" i="3" s="1"/>
  <c r="AB72" i="3"/>
  <c r="BD72" i="3" s="1"/>
  <c r="X72" i="3"/>
  <c r="AZ72" i="3" s="1"/>
  <c r="U72" i="3"/>
  <c r="AW72" i="3" s="1"/>
  <c r="Q72" i="3"/>
  <c r="AS72" i="3" s="1"/>
  <c r="AK72" i="3"/>
  <c r="BM72" i="3" s="1"/>
  <c r="AC72" i="3"/>
  <c r="BE72" i="3" s="1"/>
  <c r="T72" i="3"/>
  <c r="AV72" i="3" s="1"/>
  <c r="W72" i="3"/>
  <c r="AY72" i="3" s="1"/>
  <c r="S72" i="3"/>
  <c r="AU72" i="3" s="1"/>
  <c r="AG72" i="3"/>
  <c r="BI72" i="3" s="1"/>
  <c r="V72" i="3"/>
  <c r="AX72" i="3" s="1"/>
  <c r="O72" i="3"/>
  <c r="AQ72" i="3" s="1"/>
  <c r="N72" i="3"/>
  <c r="AP72" i="3" s="1"/>
  <c r="Y72" i="3"/>
  <c r="BA72" i="3" s="1"/>
  <c r="R72" i="3"/>
  <c r="AT72" i="3" s="1"/>
  <c r="P72" i="3"/>
  <c r="AR72" i="3" s="1"/>
  <c r="M72" i="3"/>
  <c r="AO72" i="3" s="1"/>
  <c r="AL54" i="3"/>
  <c r="BN54" i="3" s="1"/>
  <c r="AK54" i="3"/>
  <c r="BM54" i="3" s="1"/>
  <c r="AJ54" i="3"/>
  <c r="BL54" i="3" s="1"/>
  <c r="AG54" i="3"/>
  <c r="BI54" i="3" s="1"/>
  <c r="Z54" i="3"/>
  <c r="BB54" i="3" s="1"/>
  <c r="R54" i="3"/>
  <c r="AT54" i="3" s="1"/>
  <c r="X54" i="3"/>
  <c r="AZ54" i="3" s="1"/>
  <c r="P54" i="3"/>
  <c r="AR54" i="3" s="1"/>
  <c r="Y54" i="3"/>
  <c r="BA54" i="3" s="1"/>
  <c r="Q54" i="3"/>
  <c r="AS54" i="3" s="1"/>
  <c r="AE54" i="3"/>
  <c r="BG54" i="3" s="1"/>
  <c r="W54" i="3"/>
  <c r="AY54" i="3" s="1"/>
  <c r="O54" i="3"/>
  <c r="AQ54" i="3" s="1"/>
  <c r="AD54" i="3"/>
  <c r="BF54" i="3" s="1"/>
  <c r="AM54" i="3"/>
  <c r="BO54" i="3" s="1"/>
  <c r="AF54" i="3"/>
  <c r="BH54" i="3" s="1"/>
  <c r="N54" i="3"/>
  <c r="AP54" i="3" s="1"/>
  <c r="AC54" i="3"/>
  <c r="BE54" i="3" s="1"/>
  <c r="T54" i="3"/>
  <c r="AV54" i="3" s="1"/>
  <c r="AB54" i="3"/>
  <c r="BD54" i="3" s="1"/>
  <c r="AH54" i="3"/>
  <c r="BJ54" i="3" s="1"/>
  <c r="M54" i="3"/>
  <c r="AO54" i="3" s="1"/>
  <c r="V54" i="3"/>
  <c r="AX54" i="3" s="1"/>
  <c r="AI54" i="3"/>
  <c r="BK54" i="3" s="1"/>
  <c r="U54" i="3"/>
  <c r="AW54" i="3" s="1"/>
  <c r="S54" i="3"/>
  <c r="AU54" i="3" s="1"/>
  <c r="AA54" i="3"/>
  <c r="BC54" i="3" s="1"/>
  <c r="I114" i="3"/>
  <c r="L114" i="3" s="1"/>
  <c r="I115" i="3"/>
  <c r="L115" i="3" s="1"/>
  <c r="I83" i="3"/>
  <c r="L83" i="3" s="1"/>
  <c r="O84" i="2"/>
  <c r="I84" i="3" s="1"/>
  <c r="L84" i="3" s="1"/>
  <c r="O116" i="2"/>
  <c r="I116" i="3" s="1"/>
  <c r="L116" i="3" s="1"/>
  <c r="K117" i="2"/>
  <c r="O117" i="2" s="1"/>
  <c r="K74" i="2"/>
  <c r="O73" i="2"/>
  <c r="I73" i="3" s="1"/>
  <c r="L73" i="3" s="1"/>
  <c r="K87" i="2"/>
  <c r="K57" i="2"/>
  <c r="O57" i="2" s="1"/>
  <c r="O58" i="2" s="1"/>
  <c r="O56" i="2"/>
  <c r="I55" i="3" s="1"/>
  <c r="L55" i="3" s="1"/>
  <c r="O87" i="2" l="1"/>
  <c r="I87" i="3" s="1"/>
  <c r="L85" i="3"/>
  <c r="W85" i="3"/>
  <c r="AY85" i="3" s="1"/>
  <c r="T85" i="3"/>
  <c r="AV85" i="3" s="1"/>
  <c r="S85" i="3"/>
  <c r="AU85" i="3" s="1"/>
  <c r="M85" i="3"/>
  <c r="AO85" i="3" s="1"/>
  <c r="AJ85" i="3"/>
  <c r="BL85" i="3" s="1"/>
  <c r="AI85" i="3"/>
  <c r="BK85" i="3" s="1"/>
  <c r="R85" i="3"/>
  <c r="AT85" i="3" s="1"/>
  <c r="Q85" i="3"/>
  <c r="AS85" i="3" s="1"/>
  <c r="AM85" i="3"/>
  <c r="BO85" i="3" s="1"/>
  <c r="V85" i="3"/>
  <c r="AX85" i="3" s="1"/>
  <c r="AA85" i="3"/>
  <c r="BC85" i="3" s="1"/>
  <c r="X85" i="3"/>
  <c r="AZ85" i="3" s="1"/>
  <c r="AL85" i="3"/>
  <c r="BN85" i="3" s="1"/>
  <c r="AD85" i="3"/>
  <c r="BF85" i="3" s="1"/>
  <c r="U85" i="3"/>
  <c r="AW85" i="3" s="1"/>
  <c r="AG85" i="3"/>
  <c r="BI85" i="3" s="1"/>
  <c r="AK85" i="3"/>
  <c r="BM85" i="3" s="1"/>
  <c r="P85" i="3"/>
  <c r="AR85" i="3" s="1"/>
  <c r="AH85" i="3"/>
  <c r="BJ85" i="3" s="1"/>
  <c r="N85" i="3"/>
  <c r="AP85" i="3" s="1"/>
  <c r="AC85" i="3"/>
  <c r="BE85" i="3" s="1"/>
  <c r="AB85" i="3"/>
  <c r="BD85" i="3" s="1"/>
  <c r="O85" i="3"/>
  <c r="AQ85" i="3" s="1"/>
  <c r="AF85" i="3"/>
  <c r="BH85" i="3" s="1"/>
  <c r="Z85" i="3"/>
  <c r="BB85" i="3" s="1"/>
  <c r="Y85" i="3"/>
  <c r="BA85" i="3" s="1"/>
  <c r="AE85" i="3"/>
  <c r="BG85" i="3" s="1"/>
  <c r="AF136" i="3"/>
  <c r="BH136" i="3" s="1"/>
  <c r="S136" i="3"/>
  <c r="AU136" i="3" s="1"/>
  <c r="Y136" i="3"/>
  <c r="BA136" i="3" s="1"/>
  <c r="AK136" i="3"/>
  <c r="BM136" i="3" s="1"/>
  <c r="V136" i="3"/>
  <c r="AX136" i="3" s="1"/>
  <c r="AD136" i="3"/>
  <c r="BF136" i="3" s="1"/>
  <c r="N136" i="3"/>
  <c r="AP136" i="3" s="1"/>
  <c r="Z136" i="3"/>
  <c r="BB136" i="3" s="1"/>
  <c r="Q136" i="3"/>
  <c r="AS136" i="3" s="1"/>
  <c r="AM136" i="3"/>
  <c r="BO136" i="3" s="1"/>
  <c r="X136" i="3"/>
  <c r="AZ136" i="3" s="1"/>
  <c r="U136" i="3"/>
  <c r="AW136" i="3" s="1"/>
  <c r="AI136" i="3"/>
  <c r="BK136" i="3" s="1"/>
  <c r="T136" i="3"/>
  <c r="AV136" i="3" s="1"/>
  <c r="M136" i="3"/>
  <c r="AO136" i="3" s="1"/>
  <c r="AG136" i="3"/>
  <c r="BI136" i="3" s="1"/>
  <c r="R136" i="3"/>
  <c r="AT136" i="3" s="1"/>
  <c r="AB136" i="3"/>
  <c r="BD136" i="3" s="1"/>
  <c r="AE136" i="3"/>
  <c r="BG136" i="3" s="1"/>
  <c r="AC136" i="3"/>
  <c r="BE136" i="3" s="1"/>
  <c r="AL136" i="3"/>
  <c r="BN136" i="3" s="1"/>
  <c r="O136" i="3"/>
  <c r="AQ136" i="3" s="1"/>
  <c r="AH136" i="3"/>
  <c r="BJ136" i="3" s="1"/>
  <c r="W136" i="3"/>
  <c r="AY136" i="3" s="1"/>
  <c r="AJ136" i="3"/>
  <c r="BL136" i="3" s="1"/>
  <c r="AA136" i="3"/>
  <c r="BC136" i="3" s="1"/>
  <c r="P136" i="3"/>
  <c r="AR136" i="3" s="1"/>
  <c r="O137" i="2"/>
  <c r="I137" i="3" s="1"/>
  <c r="L137" i="3" s="1"/>
  <c r="K138" i="2"/>
  <c r="AK114" i="3"/>
  <c r="BM114" i="3" s="1"/>
  <c r="AG114" i="3"/>
  <c r="BI114" i="3" s="1"/>
  <c r="AC114" i="3"/>
  <c r="BE114" i="3" s="1"/>
  <c r="Y114" i="3"/>
  <c r="BA114" i="3" s="1"/>
  <c r="U114" i="3"/>
  <c r="AW114" i="3" s="1"/>
  <c r="AL114" i="3"/>
  <c r="BN114" i="3" s="1"/>
  <c r="AH114" i="3"/>
  <c r="BJ114" i="3" s="1"/>
  <c r="AD114" i="3"/>
  <c r="BF114" i="3" s="1"/>
  <c r="Z114" i="3"/>
  <c r="BB114" i="3" s="1"/>
  <c r="V114" i="3"/>
  <c r="AX114" i="3" s="1"/>
  <c r="AM114" i="3"/>
  <c r="BO114" i="3" s="1"/>
  <c r="AI114" i="3"/>
  <c r="BK114" i="3" s="1"/>
  <c r="AE114" i="3"/>
  <c r="BG114" i="3" s="1"/>
  <c r="AA114" i="3"/>
  <c r="BC114" i="3" s="1"/>
  <c r="W114" i="3"/>
  <c r="AY114" i="3" s="1"/>
  <c r="AB114" i="3"/>
  <c r="BD114" i="3" s="1"/>
  <c r="S114" i="3"/>
  <c r="AU114" i="3" s="1"/>
  <c r="O114" i="3"/>
  <c r="AQ114" i="3" s="1"/>
  <c r="T114" i="3"/>
  <c r="AV114" i="3" s="1"/>
  <c r="Q114" i="3"/>
  <c r="AS114" i="3" s="1"/>
  <c r="AJ114" i="3"/>
  <c r="BL114" i="3" s="1"/>
  <c r="R114" i="3"/>
  <c r="AT114" i="3" s="1"/>
  <c r="N114" i="3"/>
  <c r="AP114" i="3" s="1"/>
  <c r="M114" i="3"/>
  <c r="AO114" i="3" s="1"/>
  <c r="AF114" i="3"/>
  <c r="P114" i="3"/>
  <c r="AR114" i="3" s="1"/>
  <c r="X114" i="3"/>
  <c r="AZ114" i="3" s="1"/>
  <c r="AM55" i="3"/>
  <c r="BO55" i="3" s="1"/>
  <c r="AL55" i="3"/>
  <c r="BN55" i="3" s="1"/>
  <c r="AK55" i="3"/>
  <c r="BM55" i="3" s="1"/>
  <c r="AH55" i="3"/>
  <c r="BJ55" i="3" s="1"/>
  <c r="AA55" i="3"/>
  <c r="BC55" i="3" s="1"/>
  <c r="S55" i="3"/>
  <c r="AU55" i="3" s="1"/>
  <c r="AG55" i="3"/>
  <c r="BI55" i="3" s="1"/>
  <c r="Z55" i="3"/>
  <c r="BB55" i="3" s="1"/>
  <c r="R55" i="3"/>
  <c r="AT55" i="3" s="1"/>
  <c r="Y55" i="3"/>
  <c r="BA55" i="3" s="1"/>
  <c r="Q55" i="3"/>
  <c r="AS55" i="3" s="1"/>
  <c r="AJ55" i="3"/>
  <c r="BL55" i="3" s="1"/>
  <c r="X55" i="3"/>
  <c r="AZ55" i="3" s="1"/>
  <c r="P55" i="3"/>
  <c r="AR55" i="3" s="1"/>
  <c r="W55" i="3"/>
  <c r="AY55" i="3" s="1"/>
  <c r="O55" i="3"/>
  <c r="AQ55" i="3" s="1"/>
  <c r="AI55" i="3"/>
  <c r="BK55" i="3" s="1"/>
  <c r="U55" i="3"/>
  <c r="AW55" i="3" s="1"/>
  <c r="AC55" i="3"/>
  <c r="BE55" i="3" s="1"/>
  <c r="T55" i="3"/>
  <c r="AV55" i="3" s="1"/>
  <c r="AE55" i="3"/>
  <c r="BG55" i="3" s="1"/>
  <c r="AB55" i="3"/>
  <c r="BD55" i="3" s="1"/>
  <c r="AF55" i="3"/>
  <c r="BH55" i="3" s="1"/>
  <c r="M55" i="3"/>
  <c r="AO55" i="3" s="1"/>
  <c r="V55" i="3"/>
  <c r="AX55" i="3" s="1"/>
  <c r="N55" i="3"/>
  <c r="AP55" i="3" s="1"/>
  <c r="AD55" i="3"/>
  <c r="BF55" i="3" s="1"/>
  <c r="AK116" i="3"/>
  <c r="BM116" i="3" s="1"/>
  <c r="AG116" i="3"/>
  <c r="BI116" i="3" s="1"/>
  <c r="AC116" i="3"/>
  <c r="BE116" i="3" s="1"/>
  <c r="Y116" i="3"/>
  <c r="BA116" i="3" s="1"/>
  <c r="U116" i="3"/>
  <c r="AW116" i="3" s="1"/>
  <c r="T116" i="3"/>
  <c r="AV116" i="3" s="1"/>
  <c r="S116" i="3"/>
  <c r="AU116" i="3" s="1"/>
  <c r="R116" i="3"/>
  <c r="AT116" i="3" s="1"/>
  <c r="Q116" i="3"/>
  <c r="AS116" i="3" s="1"/>
  <c r="P116" i="3"/>
  <c r="AR116" i="3" s="1"/>
  <c r="O116" i="3"/>
  <c r="AQ116" i="3" s="1"/>
  <c r="N116" i="3"/>
  <c r="AP116" i="3" s="1"/>
  <c r="M116" i="3"/>
  <c r="AO116" i="3" s="1"/>
  <c r="AM116" i="3"/>
  <c r="BO116" i="3" s="1"/>
  <c r="AL116" i="3"/>
  <c r="BN116" i="3" s="1"/>
  <c r="AH116" i="3"/>
  <c r="BJ116" i="3" s="1"/>
  <c r="AD116" i="3"/>
  <c r="BF116" i="3" s="1"/>
  <c r="Z116" i="3"/>
  <c r="BB116" i="3" s="1"/>
  <c r="V116" i="3"/>
  <c r="AX116" i="3" s="1"/>
  <c r="AE116" i="3"/>
  <c r="BG116" i="3" s="1"/>
  <c r="AB116" i="3"/>
  <c r="BD116" i="3" s="1"/>
  <c r="AJ116" i="3"/>
  <c r="BL116" i="3" s="1"/>
  <c r="W116" i="3"/>
  <c r="AY116" i="3" s="1"/>
  <c r="X116" i="3"/>
  <c r="AZ116" i="3" s="1"/>
  <c r="AI116" i="3"/>
  <c r="BK116" i="3" s="1"/>
  <c r="AA116" i="3"/>
  <c r="BC116" i="3" s="1"/>
  <c r="AF116" i="3"/>
  <c r="BH116" i="3" s="1"/>
  <c r="AL86" i="3"/>
  <c r="BN86" i="3" s="1"/>
  <c r="AH86" i="3"/>
  <c r="BJ86" i="3" s="1"/>
  <c r="AD86" i="3"/>
  <c r="BF86" i="3" s="1"/>
  <c r="Z86" i="3"/>
  <c r="BB86" i="3" s="1"/>
  <c r="AK86" i="3"/>
  <c r="BM86" i="3" s="1"/>
  <c r="AG86" i="3"/>
  <c r="BI86" i="3" s="1"/>
  <c r="AC86" i="3"/>
  <c r="BE86" i="3" s="1"/>
  <c r="Y86" i="3"/>
  <c r="BA86" i="3" s="1"/>
  <c r="AM86" i="3"/>
  <c r="BO86" i="3" s="1"/>
  <c r="AI86" i="3"/>
  <c r="BK86" i="3" s="1"/>
  <c r="AE86" i="3"/>
  <c r="BG86" i="3" s="1"/>
  <c r="AA86" i="3"/>
  <c r="BC86" i="3" s="1"/>
  <c r="T86" i="3"/>
  <c r="AV86" i="3" s="1"/>
  <c r="P86" i="3"/>
  <c r="AR86" i="3" s="1"/>
  <c r="AF86" i="3"/>
  <c r="BH86" i="3" s="1"/>
  <c r="X86" i="3"/>
  <c r="AZ86" i="3" s="1"/>
  <c r="W86" i="3"/>
  <c r="AY86" i="3" s="1"/>
  <c r="S86" i="3"/>
  <c r="AU86" i="3" s="1"/>
  <c r="V86" i="3"/>
  <c r="AX86" i="3" s="1"/>
  <c r="R86" i="3"/>
  <c r="AT86" i="3" s="1"/>
  <c r="AJ86" i="3"/>
  <c r="BL86" i="3" s="1"/>
  <c r="N86" i="3"/>
  <c r="AP86" i="3" s="1"/>
  <c r="M86" i="3"/>
  <c r="AO86" i="3" s="1"/>
  <c r="Q86" i="3"/>
  <c r="AS86" i="3" s="1"/>
  <c r="AB86" i="3"/>
  <c r="BD86" i="3" s="1"/>
  <c r="O86" i="3"/>
  <c r="AQ86" i="3" s="1"/>
  <c r="U86" i="3"/>
  <c r="AW86" i="3" s="1"/>
  <c r="AM73" i="3"/>
  <c r="BO73" i="3" s="1"/>
  <c r="AI73" i="3"/>
  <c r="BK73" i="3" s="1"/>
  <c r="AE73" i="3"/>
  <c r="BG73" i="3" s="1"/>
  <c r="AA73" i="3"/>
  <c r="BC73" i="3" s="1"/>
  <c r="AH73" i="3"/>
  <c r="BJ73" i="3" s="1"/>
  <c r="Z73" i="3"/>
  <c r="BB73" i="3" s="1"/>
  <c r="U73" i="3"/>
  <c r="AW73" i="3" s="1"/>
  <c r="Q73" i="3"/>
  <c r="AS73" i="3" s="1"/>
  <c r="AK73" i="3"/>
  <c r="BM73" i="3" s="1"/>
  <c r="AC73" i="3"/>
  <c r="BE73" i="3" s="1"/>
  <c r="AF73" i="3"/>
  <c r="BH73" i="3" s="1"/>
  <c r="X73" i="3"/>
  <c r="AZ73" i="3" s="1"/>
  <c r="AL73" i="3"/>
  <c r="BN73" i="3" s="1"/>
  <c r="AD73" i="3"/>
  <c r="BF73" i="3" s="1"/>
  <c r="S73" i="3"/>
  <c r="AU73" i="3" s="1"/>
  <c r="W73" i="3"/>
  <c r="AY73" i="3" s="1"/>
  <c r="AG73" i="3"/>
  <c r="BI73" i="3" s="1"/>
  <c r="V73" i="3"/>
  <c r="AX73" i="3" s="1"/>
  <c r="O73" i="3"/>
  <c r="AQ73" i="3" s="1"/>
  <c r="AJ73" i="3"/>
  <c r="BL73" i="3" s="1"/>
  <c r="T73" i="3"/>
  <c r="AV73" i="3" s="1"/>
  <c r="N73" i="3"/>
  <c r="AP73" i="3" s="1"/>
  <c r="Y73" i="3"/>
  <c r="BA73" i="3" s="1"/>
  <c r="P73" i="3"/>
  <c r="AR73" i="3" s="1"/>
  <c r="AB73" i="3"/>
  <c r="BD73" i="3" s="1"/>
  <c r="R73" i="3"/>
  <c r="AT73" i="3" s="1"/>
  <c r="M73" i="3"/>
  <c r="AO73" i="3" s="1"/>
  <c r="AM115" i="3"/>
  <c r="BO115" i="3" s="1"/>
  <c r="AL115" i="3"/>
  <c r="BN115" i="3" s="1"/>
  <c r="AK115" i="3"/>
  <c r="BM115" i="3" s="1"/>
  <c r="AJ115" i="3"/>
  <c r="BL115" i="3" s="1"/>
  <c r="AI115" i="3"/>
  <c r="BK115" i="3" s="1"/>
  <c r="AH115" i="3"/>
  <c r="BJ115" i="3" s="1"/>
  <c r="AG115" i="3"/>
  <c r="BI115" i="3" s="1"/>
  <c r="AF115" i="3"/>
  <c r="BH115" i="3" s="1"/>
  <c r="AE115" i="3"/>
  <c r="BG115" i="3" s="1"/>
  <c r="AD115" i="3"/>
  <c r="BF115" i="3" s="1"/>
  <c r="AC115" i="3"/>
  <c r="BE115" i="3" s="1"/>
  <c r="AB115" i="3"/>
  <c r="BD115" i="3" s="1"/>
  <c r="AA115" i="3"/>
  <c r="BC115" i="3" s="1"/>
  <c r="Z115" i="3"/>
  <c r="BB115" i="3" s="1"/>
  <c r="Y115" i="3"/>
  <c r="BA115" i="3" s="1"/>
  <c r="X115" i="3"/>
  <c r="AZ115" i="3" s="1"/>
  <c r="W115" i="3"/>
  <c r="AY115" i="3" s="1"/>
  <c r="V115" i="3"/>
  <c r="AX115" i="3" s="1"/>
  <c r="U115" i="3"/>
  <c r="AW115" i="3" s="1"/>
  <c r="T115" i="3"/>
  <c r="AV115" i="3" s="1"/>
  <c r="S115" i="3"/>
  <c r="AU115" i="3" s="1"/>
  <c r="R115" i="3"/>
  <c r="AT115" i="3" s="1"/>
  <c r="Q115" i="3"/>
  <c r="AS115" i="3" s="1"/>
  <c r="P115" i="3"/>
  <c r="AR115" i="3" s="1"/>
  <c r="O115" i="3"/>
  <c r="AQ115" i="3" s="1"/>
  <c r="N115" i="3"/>
  <c r="AP115" i="3" s="1"/>
  <c r="M115" i="3"/>
  <c r="AO115" i="3" s="1"/>
  <c r="AK84" i="3"/>
  <c r="BM84" i="3" s="1"/>
  <c r="AG84" i="3"/>
  <c r="BI84" i="3" s="1"/>
  <c r="AC84" i="3"/>
  <c r="BE84" i="3" s="1"/>
  <c r="Y84" i="3"/>
  <c r="BA84" i="3" s="1"/>
  <c r="AJ84" i="3"/>
  <c r="BL84" i="3" s="1"/>
  <c r="AF84" i="3"/>
  <c r="BH84" i="3" s="1"/>
  <c r="AB84" i="3"/>
  <c r="BD84" i="3" s="1"/>
  <c r="X84" i="3"/>
  <c r="AZ84" i="3" s="1"/>
  <c r="AL84" i="3"/>
  <c r="BN84" i="3" s="1"/>
  <c r="AH84" i="3"/>
  <c r="BJ84" i="3" s="1"/>
  <c r="AD84" i="3"/>
  <c r="BF84" i="3" s="1"/>
  <c r="Z84" i="3"/>
  <c r="BB84" i="3" s="1"/>
  <c r="W84" i="3"/>
  <c r="AY84" i="3" s="1"/>
  <c r="S84" i="3"/>
  <c r="AU84" i="3" s="1"/>
  <c r="AI84" i="3"/>
  <c r="BK84" i="3" s="1"/>
  <c r="AA84" i="3"/>
  <c r="BC84" i="3" s="1"/>
  <c r="V84" i="3"/>
  <c r="AX84" i="3" s="1"/>
  <c r="R84" i="3"/>
  <c r="AT84" i="3" s="1"/>
  <c r="U84" i="3"/>
  <c r="AW84" i="3" s="1"/>
  <c r="Q84" i="3"/>
  <c r="AS84" i="3" s="1"/>
  <c r="AM84" i="3"/>
  <c r="BO84" i="3" s="1"/>
  <c r="T84" i="3"/>
  <c r="AV84" i="3" s="1"/>
  <c r="M84" i="3"/>
  <c r="AO84" i="3" s="1"/>
  <c r="P84" i="3"/>
  <c r="AR84" i="3" s="1"/>
  <c r="O84" i="3"/>
  <c r="AQ84" i="3" s="1"/>
  <c r="AE84" i="3"/>
  <c r="BG84" i="3" s="1"/>
  <c r="N84" i="3"/>
  <c r="AP84" i="3" s="1"/>
  <c r="AJ83" i="3"/>
  <c r="BL83" i="3" s="1"/>
  <c r="AF83" i="3"/>
  <c r="BH83" i="3" s="1"/>
  <c r="AB83" i="3"/>
  <c r="BD83" i="3" s="1"/>
  <c r="X83" i="3"/>
  <c r="AZ83" i="3" s="1"/>
  <c r="AI83" i="3"/>
  <c r="BK83" i="3" s="1"/>
  <c r="AA83" i="3"/>
  <c r="BC83" i="3" s="1"/>
  <c r="V83" i="3"/>
  <c r="AX83" i="3" s="1"/>
  <c r="R83" i="3"/>
  <c r="AT83" i="3" s="1"/>
  <c r="AL83" i="3"/>
  <c r="BN83" i="3" s="1"/>
  <c r="AD83" i="3"/>
  <c r="BF83" i="3" s="1"/>
  <c r="AG83" i="3"/>
  <c r="BI83" i="3" s="1"/>
  <c r="Y83" i="3"/>
  <c r="BA83" i="3" s="1"/>
  <c r="U83" i="3"/>
  <c r="AW83" i="3" s="1"/>
  <c r="AM83" i="3"/>
  <c r="BO83" i="3" s="1"/>
  <c r="AE83" i="3"/>
  <c r="BG83" i="3" s="1"/>
  <c r="AC83" i="3"/>
  <c r="BE83" i="3" s="1"/>
  <c r="T83" i="3"/>
  <c r="AV83" i="3" s="1"/>
  <c r="M83" i="3"/>
  <c r="AO83" i="3" s="1"/>
  <c r="Q83" i="3"/>
  <c r="AS83" i="3" s="1"/>
  <c r="P83" i="3"/>
  <c r="AR83" i="3" s="1"/>
  <c r="O83" i="3"/>
  <c r="AQ83" i="3" s="1"/>
  <c r="AH83" i="3"/>
  <c r="BJ83" i="3" s="1"/>
  <c r="S83" i="3"/>
  <c r="AU83" i="3" s="1"/>
  <c r="AK83" i="3"/>
  <c r="BM83" i="3" s="1"/>
  <c r="N83" i="3"/>
  <c r="AP83" i="3" s="1"/>
  <c r="Z83" i="3"/>
  <c r="BB83" i="3" s="1"/>
  <c r="W83" i="3"/>
  <c r="AY83" i="3" s="1"/>
  <c r="I57" i="3"/>
  <c r="L57" i="3" s="1"/>
  <c r="I56" i="3"/>
  <c r="L56" i="3" s="1"/>
  <c r="I117" i="3"/>
  <c r="L117" i="3" s="1"/>
  <c r="K118" i="2"/>
  <c r="O118" i="2" s="1"/>
  <c r="K75" i="2"/>
  <c r="K76" i="2" s="1"/>
  <c r="O74" i="2"/>
  <c r="I74" i="3" s="1"/>
  <c r="L87" i="3" l="1"/>
  <c r="AK87" i="3"/>
  <c r="BM87" i="3" s="1"/>
  <c r="O87" i="3"/>
  <c r="AQ87" i="3" s="1"/>
  <c r="Q87" i="3"/>
  <c r="AS87" i="3" s="1"/>
  <c r="AH87" i="3"/>
  <c r="BJ87" i="3" s="1"/>
  <c r="V87" i="3"/>
  <c r="AX87" i="3" s="1"/>
  <c r="AC87" i="3"/>
  <c r="BE87" i="3" s="1"/>
  <c r="AE87" i="3"/>
  <c r="BG87" i="3" s="1"/>
  <c r="Z87" i="3"/>
  <c r="BB87" i="3" s="1"/>
  <c r="AB87" i="3"/>
  <c r="BD87" i="3" s="1"/>
  <c r="T87" i="3"/>
  <c r="AV87" i="3" s="1"/>
  <c r="N87" i="3"/>
  <c r="AP87" i="3" s="1"/>
  <c r="AM87" i="3"/>
  <c r="BO87" i="3" s="1"/>
  <c r="P87" i="3"/>
  <c r="AR87" i="3" s="1"/>
  <c r="AJ87" i="3"/>
  <c r="BL87" i="3" s="1"/>
  <c r="AF87" i="3"/>
  <c r="BH87" i="3" s="1"/>
  <c r="AI87" i="3"/>
  <c r="BK87" i="3" s="1"/>
  <c r="R87" i="3"/>
  <c r="AT87" i="3" s="1"/>
  <c r="X87" i="3"/>
  <c r="AZ87" i="3" s="1"/>
  <c r="M87" i="3"/>
  <c r="AO87" i="3" s="1"/>
  <c r="AA87" i="3"/>
  <c r="BC87" i="3" s="1"/>
  <c r="AL87" i="3"/>
  <c r="BN87" i="3" s="1"/>
  <c r="W87" i="3"/>
  <c r="AY87" i="3" s="1"/>
  <c r="S87" i="3"/>
  <c r="AU87" i="3" s="1"/>
  <c r="AG87" i="3"/>
  <c r="BI87" i="3" s="1"/>
  <c r="AD87" i="3"/>
  <c r="BF87" i="3" s="1"/>
  <c r="Y87" i="3"/>
  <c r="BA87" i="3" s="1"/>
  <c r="U87" i="3"/>
  <c r="AW87" i="3" s="1"/>
  <c r="AF74" i="3"/>
  <c r="L74" i="3"/>
  <c r="K139" i="2"/>
  <c r="O139" i="2" s="1"/>
  <c r="I139" i="3" s="1"/>
  <c r="L139" i="3" s="1"/>
  <c r="O138" i="2"/>
  <c r="I138" i="3" s="1"/>
  <c r="L138" i="3" s="1"/>
  <c r="Y137" i="3"/>
  <c r="BA137" i="3" s="1"/>
  <c r="V137" i="3"/>
  <c r="AX137" i="3" s="1"/>
  <c r="W137" i="3"/>
  <c r="AY137" i="3" s="1"/>
  <c r="T137" i="3"/>
  <c r="AV137" i="3" s="1"/>
  <c r="S137" i="3"/>
  <c r="AU137" i="3" s="1"/>
  <c r="O137" i="3"/>
  <c r="AQ137" i="3" s="1"/>
  <c r="U137" i="3"/>
  <c r="AW137" i="3" s="1"/>
  <c r="R137" i="3"/>
  <c r="AT137" i="3" s="1"/>
  <c r="AL137" i="3"/>
  <c r="BN137" i="3" s="1"/>
  <c r="N137" i="3"/>
  <c r="AP137" i="3" s="1"/>
  <c r="Q137" i="3"/>
  <c r="AS137" i="3" s="1"/>
  <c r="AM137" i="3"/>
  <c r="BO137" i="3" s="1"/>
  <c r="AJ137" i="3"/>
  <c r="BL137" i="3" s="1"/>
  <c r="M137" i="3"/>
  <c r="AO137" i="3" s="1"/>
  <c r="AI137" i="3"/>
  <c r="BK137" i="3" s="1"/>
  <c r="AF137" i="3"/>
  <c r="BH137" i="3" s="1"/>
  <c r="P137" i="3"/>
  <c r="AR137" i="3" s="1"/>
  <c r="AG137" i="3"/>
  <c r="BI137" i="3" s="1"/>
  <c r="AD137" i="3"/>
  <c r="BF137" i="3" s="1"/>
  <c r="AE137" i="3"/>
  <c r="BG137" i="3" s="1"/>
  <c r="AB137" i="3"/>
  <c r="BD137" i="3" s="1"/>
  <c r="AC137" i="3"/>
  <c r="BE137" i="3" s="1"/>
  <c r="Z137" i="3"/>
  <c r="BB137" i="3" s="1"/>
  <c r="AH137" i="3"/>
  <c r="BJ137" i="3" s="1"/>
  <c r="AA137" i="3"/>
  <c r="BC137" i="3" s="1"/>
  <c r="X137" i="3"/>
  <c r="AZ137" i="3" s="1"/>
  <c r="AK137" i="3"/>
  <c r="BM137" i="3" s="1"/>
  <c r="BH114" i="3"/>
  <c r="AJ117" i="3"/>
  <c r="BL117" i="3" s="1"/>
  <c r="AF117" i="3"/>
  <c r="BH117" i="3" s="1"/>
  <c r="AB117" i="3"/>
  <c r="BD117" i="3" s="1"/>
  <c r="X117" i="3"/>
  <c r="AZ117" i="3" s="1"/>
  <c r="AK117" i="3"/>
  <c r="BM117" i="3" s="1"/>
  <c r="AG117" i="3"/>
  <c r="BI117" i="3" s="1"/>
  <c r="AC117" i="3"/>
  <c r="BE117" i="3" s="1"/>
  <c r="Y117" i="3"/>
  <c r="BA117" i="3" s="1"/>
  <c r="U117" i="3"/>
  <c r="AW117" i="3" s="1"/>
  <c r="T117" i="3"/>
  <c r="AV117" i="3" s="1"/>
  <c r="S117" i="3"/>
  <c r="AU117" i="3" s="1"/>
  <c r="R117" i="3"/>
  <c r="AT117" i="3" s="1"/>
  <c r="Q117" i="3"/>
  <c r="AS117" i="3" s="1"/>
  <c r="P117" i="3"/>
  <c r="AR117" i="3" s="1"/>
  <c r="O117" i="3"/>
  <c r="AQ117" i="3" s="1"/>
  <c r="N117" i="3"/>
  <c r="AP117" i="3" s="1"/>
  <c r="M117" i="3"/>
  <c r="AO117" i="3" s="1"/>
  <c r="AL117" i="3"/>
  <c r="BN117" i="3" s="1"/>
  <c r="AH117" i="3"/>
  <c r="BJ117" i="3" s="1"/>
  <c r="AD117" i="3"/>
  <c r="BF117" i="3" s="1"/>
  <c r="Z117" i="3"/>
  <c r="BB117" i="3" s="1"/>
  <c r="V117" i="3"/>
  <c r="AX117" i="3" s="1"/>
  <c r="AE117" i="3"/>
  <c r="BG117" i="3" s="1"/>
  <c r="W117" i="3"/>
  <c r="AY117" i="3" s="1"/>
  <c r="AA117" i="3"/>
  <c r="BC117" i="3" s="1"/>
  <c r="AM117" i="3"/>
  <c r="BO117" i="3" s="1"/>
  <c r="AI117" i="3"/>
  <c r="BK117" i="3" s="1"/>
  <c r="AF57" i="3"/>
  <c r="BH57" i="3" s="1"/>
  <c r="AM57" i="3"/>
  <c r="BO57" i="3" s="1"/>
  <c r="AJ57" i="3"/>
  <c r="BL57" i="3" s="1"/>
  <c r="AI57" i="3"/>
  <c r="BK57" i="3" s="1"/>
  <c r="AH57" i="3"/>
  <c r="BJ57" i="3" s="1"/>
  <c r="AC57" i="3"/>
  <c r="BE57" i="3" s="1"/>
  <c r="U57" i="3"/>
  <c r="AW57" i="3" s="1"/>
  <c r="M57" i="3"/>
  <c r="AO57" i="3" s="1"/>
  <c r="S57" i="3"/>
  <c r="AU57" i="3" s="1"/>
  <c r="AL57" i="3"/>
  <c r="BN57" i="3" s="1"/>
  <c r="AB57" i="3"/>
  <c r="BD57" i="3" s="1"/>
  <c r="T57" i="3"/>
  <c r="AV57" i="3" s="1"/>
  <c r="AA57" i="3"/>
  <c r="BC57" i="3" s="1"/>
  <c r="AG57" i="3"/>
  <c r="BI57" i="3" s="1"/>
  <c r="Z57" i="3"/>
  <c r="BB57" i="3" s="1"/>
  <c r="R57" i="3"/>
  <c r="AT57" i="3" s="1"/>
  <c r="Y57" i="3"/>
  <c r="BA57" i="3" s="1"/>
  <c r="V57" i="3"/>
  <c r="AX57" i="3" s="1"/>
  <c r="Q57" i="3"/>
  <c r="AS57" i="3" s="1"/>
  <c r="N57" i="3"/>
  <c r="AP57" i="3" s="1"/>
  <c r="P57" i="3"/>
  <c r="AR57" i="3" s="1"/>
  <c r="AD57" i="3"/>
  <c r="BF57" i="3" s="1"/>
  <c r="W57" i="3"/>
  <c r="AY57" i="3" s="1"/>
  <c r="O57" i="3"/>
  <c r="AQ57" i="3" s="1"/>
  <c r="AK57" i="3"/>
  <c r="BM57" i="3" s="1"/>
  <c r="X57" i="3"/>
  <c r="AZ57" i="3" s="1"/>
  <c r="AE57" i="3"/>
  <c r="BG57" i="3" s="1"/>
  <c r="AJ74" i="3"/>
  <c r="BL74" i="3" s="1"/>
  <c r="AB74" i="3"/>
  <c r="BD74" i="3" s="1"/>
  <c r="X74" i="3"/>
  <c r="AZ74" i="3" s="1"/>
  <c r="AM74" i="3"/>
  <c r="BO74" i="3" s="1"/>
  <c r="AI74" i="3"/>
  <c r="BK74" i="3" s="1"/>
  <c r="AE74" i="3"/>
  <c r="BG74" i="3" s="1"/>
  <c r="AA74" i="3"/>
  <c r="BC74" i="3" s="1"/>
  <c r="AK74" i="3"/>
  <c r="BM74" i="3" s="1"/>
  <c r="AG74" i="3"/>
  <c r="BI74" i="3" s="1"/>
  <c r="AC74" i="3"/>
  <c r="BE74" i="3" s="1"/>
  <c r="Y74" i="3"/>
  <c r="BA74" i="3" s="1"/>
  <c r="V74" i="3"/>
  <c r="AX74" i="3" s="1"/>
  <c r="R74" i="3"/>
  <c r="AT74" i="3" s="1"/>
  <c r="AH74" i="3"/>
  <c r="BJ74" i="3" s="1"/>
  <c r="Z74" i="3"/>
  <c r="BB74" i="3" s="1"/>
  <c r="U74" i="3"/>
  <c r="AW74" i="3" s="1"/>
  <c r="T74" i="3"/>
  <c r="AV74" i="3" s="1"/>
  <c r="P74" i="3"/>
  <c r="AR74" i="3" s="1"/>
  <c r="AL74" i="3"/>
  <c r="BN74" i="3" s="1"/>
  <c r="S74" i="3"/>
  <c r="AU74" i="3" s="1"/>
  <c r="W74" i="3"/>
  <c r="AY74" i="3" s="1"/>
  <c r="O74" i="3"/>
  <c r="AQ74" i="3" s="1"/>
  <c r="Q74" i="3"/>
  <c r="AS74" i="3" s="1"/>
  <c r="AD74" i="3"/>
  <c r="BF74" i="3" s="1"/>
  <c r="N74" i="3"/>
  <c r="AP74" i="3" s="1"/>
  <c r="M74" i="3"/>
  <c r="AO74" i="3" s="1"/>
  <c r="AM56" i="3"/>
  <c r="BO56" i="3" s="1"/>
  <c r="AL56" i="3"/>
  <c r="BN56" i="3" s="1"/>
  <c r="AI56" i="3"/>
  <c r="BK56" i="3" s="1"/>
  <c r="AB56" i="3"/>
  <c r="BD56" i="3" s="1"/>
  <c r="T56" i="3"/>
  <c r="AV56" i="3" s="1"/>
  <c r="R56" i="3"/>
  <c r="AT56" i="3" s="1"/>
  <c r="AA56" i="3"/>
  <c r="BC56" i="3" s="1"/>
  <c r="S56" i="3"/>
  <c r="AU56" i="3" s="1"/>
  <c r="Z56" i="3"/>
  <c r="BB56" i="3" s="1"/>
  <c r="AG56" i="3"/>
  <c r="BI56" i="3" s="1"/>
  <c r="AJ56" i="3"/>
  <c r="BL56" i="3" s="1"/>
  <c r="Y56" i="3"/>
  <c r="BA56" i="3" s="1"/>
  <c r="Q56" i="3"/>
  <c r="AS56" i="3" s="1"/>
  <c r="AD56" i="3"/>
  <c r="BF56" i="3" s="1"/>
  <c r="AE56" i="3"/>
  <c r="BG56" i="3" s="1"/>
  <c r="U56" i="3"/>
  <c r="AW56" i="3" s="1"/>
  <c r="AK56" i="3"/>
  <c r="BM56" i="3" s="1"/>
  <c r="W56" i="3"/>
  <c r="AY56" i="3" s="1"/>
  <c r="O56" i="3"/>
  <c r="AQ56" i="3" s="1"/>
  <c r="X56" i="3"/>
  <c r="AZ56" i="3" s="1"/>
  <c r="P56" i="3"/>
  <c r="AR56" i="3" s="1"/>
  <c r="AH56" i="3"/>
  <c r="BJ56" i="3" s="1"/>
  <c r="AF56" i="3"/>
  <c r="BH56" i="3" s="1"/>
  <c r="AC56" i="3"/>
  <c r="BE56" i="3" s="1"/>
  <c r="M56" i="3"/>
  <c r="AO56" i="3" s="1"/>
  <c r="V56" i="3"/>
  <c r="AX56" i="3" s="1"/>
  <c r="N56" i="3"/>
  <c r="AP56" i="3" s="1"/>
  <c r="K119" i="2"/>
  <c r="O119" i="2" s="1"/>
  <c r="I118" i="3"/>
  <c r="L118" i="3" s="1"/>
  <c r="O75" i="2"/>
  <c r="I75" i="3" s="1"/>
  <c r="L75" i="3" s="1"/>
  <c r="R138" i="3" l="1"/>
  <c r="AT138" i="3" s="1"/>
  <c r="AB138" i="3"/>
  <c r="Q138" i="3"/>
  <c r="X138" i="3"/>
  <c r="AZ138" i="3" s="1"/>
  <c r="U138" i="3"/>
  <c r="P138" i="3"/>
  <c r="T138" i="3"/>
  <c r="AK138" i="3"/>
  <c r="BM138" i="3" s="1"/>
  <c r="N138" i="3"/>
  <c r="Y138" i="3"/>
  <c r="BA138" i="3" s="1"/>
  <c r="AI138" i="3"/>
  <c r="AJ138" i="3"/>
  <c r="BL138" i="3" s="1"/>
  <c r="AF138" i="3"/>
  <c r="AG138" i="3"/>
  <c r="AA138" i="3"/>
  <c r="BC138" i="3" s="1"/>
  <c r="AE138" i="3"/>
  <c r="W138" i="3"/>
  <c r="AC138" i="3"/>
  <c r="S138" i="3"/>
  <c r="AH138" i="3"/>
  <c r="O138" i="3"/>
  <c r="Z138" i="3"/>
  <c r="AL138" i="3"/>
  <c r="AM138" i="3"/>
  <c r="M138" i="3"/>
  <c r="V138" i="3"/>
  <c r="AX138" i="3" s="1"/>
  <c r="AD138" i="3"/>
  <c r="BF138" i="3" s="1"/>
  <c r="AA139" i="3"/>
  <c r="BC139" i="3" s="1"/>
  <c r="P139" i="3"/>
  <c r="AR139" i="3" s="1"/>
  <c r="Y139" i="3"/>
  <c r="BA139" i="3" s="1"/>
  <c r="X139" i="3"/>
  <c r="AZ139" i="3" s="1"/>
  <c r="W139" i="3"/>
  <c r="AY139" i="3" s="1"/>
  <c r="AJ139" i="3"/>
  <c r="BL139" i="3" s="1"/>
  <c r="S139" i="3"/>
  <c r="AU139" i="3" s="1"/>
  <c r="AD139" i="3"/>
  <c r="BF139" i="3" s="1"/>
  <c r="Q139" i="3"/>
  <c r="AS139" i="3" s="1"/>
  <c r="AB139" i="3"/>
  <c r="BD139" i="3" s="1"/>
  <c r="AM139" i="3"/>
  <c r="BO139" i="3" s="1"/>
  <c r="O139" i="3"/>
  <c r="AQ139" i="3" s="1"/>
  <c r="T139" i="3"/>
  <c r="AV139" i="3" s="1"/>
  <c r="AK139" i="3"/>
  <c r="BM139" i="3" s="1"/>
  <c r="M139" i="3"/>
  <c r="AO139" i="3" s="1"/>
  <c r="N139" i="3"/>
  <c r="AP139" i="3" s="1"/>
  <c r="AI139" i="3"/>
  <c r="BK139" i="3" s="1"/>
  <c r="AH139" i="3"/>
  <c r="BJ139" i="3" s="1"/>
  <c r="AF139" i="3"/>
  <c r="BH139" i="3" s="1"/>
  <c r="AL139" i="3"/>
  <c r="BN139" i="3" s="1"/>
  <c r="AG139" i="3"/>
  <c r="BI139" i="3" s="1"/>
  <c r="Z139" i="3"/>
  <c r="BB139" i="3" s="1"/>
  <c r="AE139" i="3"/>
  <c r="BG139" i="3" s="1"/>
  <c r="V139" i="3"/>
  <c r="AX139" i="3" s="1"/>
  <c r="U139" i="3"/>
  <c r="AW139" i="3" s="1"/>
  <c r="AC139" i="3"/>
  <c r="BE139" i="3" s="1"/>
  <c r="R139" i="3"/>
  <c r="AT139" i="3" s="1"/>
  <c r="AT64" i="3"/>
  <c r="BT134" i="3" s="1"/>
  <c r="BF64" i="3"/>
  <c r="CC123" i="3" s="1"/>
  <c r="BI64" i="3"/>
  <c r="BE64" i="3"/>
  <c r="CC115" i="3" s="1"/>
  <c r="AR64" i="3"/>
  <c r="BS134" i="3" s="1"/>
  <c r="BC64" i="3"/>
  <c r="BX123" i="3" s="1"/>
  <c r="BJ64" i="3"/>
  <c r="BY123" i="3" s="1"/>
  <c r="AP64" i="3"/>
  <c r="BR134" i="3" s="1"/>
  <c r="AV64" i="3"/>
  <c r="BW123" i="3" s="1"/>
  <c r="BK64" i="3"/>
  <c r="BY131" i="3" s="1"/>
  <c r="BG64" i="3"/>
  <c r="CC131" i="3" s="1"/>
  <c r="AS64" i="3"/>
  <c r="BT126" i="3" s="1"/>
  <c r="BD64" i="3"/>
  <c r="BX131" i="3" s="1"/>
  <c r="BL64" i="3"/>
  <c r="CD115" i="3" s="1"/>
  <c r="AZ64" i="3"/>
  <c r="CB131" i="3" s="1"/>
  <c r="AX64" i="3"/>
  <c r="CB115" i="3" s="1"/>
  <c r="BN64" i="3"/>
  <c r="CD131" i="3" s="1"/>
  <c r="BO64" i="3"/>
  <c r="CD139" i="3" s="1"/>
  <c r="BM64" i="3"/>
  <c r="CD123" i="3" s="1"/>
  <c r="BA64" i="3"/>
  <c r="CB139" i="3" s="1"/>
  <c r="AU64" i="3"/>
  <c r="BH64" i="3"/>
  <c r="CC139" i="3" s="1"/>
  <c r="BH74" i="3"/>
  <c r="AQ64" i="3"/>
  <c r="BS126" i="3" s="1"/>
  <c r="AY64" i="3"/>
  <c r="CB123" i="3" s="1"/>
  <c r="BB64" i="3"/>
  <c r="AW64" i="3"/>
  <c r="BW131" i="3" s="1"/>
  <c r="O64" i="3"/>
  <c r="R64" i="3"/>
  <c r="M64" i="3"/>
  <c r="W64" i="3"/>
  <c r="Z64" i="3"/>
  <c r="U64" i="3"/>
  <c r="AL118" i="3"/>
  <c r="BN118" i="3" s="1"/>
  <c r="AJ118" i="3"/>
  <c r="BL118" i="3" s="1"/>
  <c r="AF118" i="3"/>
  <c r="BH118" i="3" s="1"/>
  <c r="AB118" i="3"/>
  <c r="BD118" i="3" s="1"/>
  <c r="X118" i="3"/>
  <c r="AZ118" i="3" s="1"/>
  <c r="T118" i="3"/>
  <c r="AV118" i="3" s="1"/>
  <c r="R118" i="3"/>
  <c r="AT118" i="3" s="1"/>
  <c r="P118" i="3"/>
  <c r="AR118" i="3" s="1"/>
  <c r="M118" i="3"/>
  <c r="AO118" i="3" s="1"/>
  <c r="S118" i="3"/>
  <c r="AU118" i="3" s="1"/>
  <c r="Q118" i="3"/>
  <c r="AS118" i="3" s="1"/>
  <c r="N118" i="3"/>
  <c r="AP118" i="3" s="1"/>
  <c r="AK118" i="3"/>
  <c r="BM118" i="3" s="1"/>
  <c r="AG118" i="3"/>
  <c r="BI118" i="3" s="1"/>
  <c r="AC118" i="3"/>
  <c r="BE118" i="3" s="1"/>
  <c r="Y118" i="3"/>
  <c r="BA118" i="3" s="1"/>
  <c r="U118" i="3"/>
  <c r="AW118" i="3" s="1"/>
  <c r="O118" i="3"/>
  <c r="AQ118" i="3" s="1"/>
  <c r="V118" i="3"/>
  <c r="AX118" i="3" s="1"/>
  <c r="AH118" i="3"/>
  <c r="BJ118" i="3" s="1"/>
  <c r="AI118" i="3"/>
  <c r="BK118" i="3" s="1"/>
  <c r="AA118" i="3"/>
  <c r="BC118" i="3" s="1"/>
  <c r="AE118" i="3"/>
  <c r="BG118" i="3" s="1"/>
  <c r="AM118" i="3"/>
  <c r="BO118" i="3" s="1"/>
  <c r="Z118" i="3"/>
  <c r="BB118" i="3" s="1"/>
  <c r="W118" i="3"/>
  <c r="AY118" i="3" s="1"/>
  <c r="AD118" i="3"/>
  <c r="BF118" i="3" s="1"/>
  <c r="AD64" i="3"/>
  <c r="AG64" i="3"/>
  <c r="AC64" i="3"/>
  <c r="P64" i="3"/>
  <c r="AA64" i="3"/>
  <c r="AH64" i="3"/>
  <c r="AJ75" i="3"/>
  <c r="BL75" i="3" s="1"/>
  <c r="AF75" i="3"/>
  <c r="BH75" i="3" s="1"/>
  <c r="AB75" i="3"/>
  <c r="BD75" i="3" s="1"/>
  <c r="X75" i="3"/>
  <c r="AZ75" i="3" s="1"/>
  <c r="AM75" i="3"/>
  <c r="BO75" i="3" s="1"/>
  <c r="AE75" i="3"/>
  <c r="BG75" i="3" s="1"/>
  <c r="V75" i="3"/>
  <c r="AX75" i="3" s="1"/>
  <c r="R75" i="3"/>
  <c r="AT75" i="3" s="1"/>
  <c r="AH75" i="3"/>
  <c r="BJ75" i="3" s="1"/>
  <c r="Z75" i="3"/>
  <c r="BB75" i="3" s="1"/>
  <c r="AK75" i="3"/>
  <c r="BM75" i="3" s="1"/>
  <c r="AC75" i="3"/>
  <c r="BE75" i="3" s="1"/>
  <c r="U75" i="3"/>
  <c r="AW75" i="3" s="1"/>
  <c r="AI75" i="3"/>
  <c r="BK75" i="3" s="1"/>
  <c r="AA75" i="3"/>
  <c r="BC75" i="3" s="1"/>
  <c r="AL75" i="3"/>
  <c r="BN75" i="3" s="1"/>
  <c r="M75" i="3"/>
  <c r="AO75" i="3" s="1"/>
  <c r="S75" i="3"/>
  <c r="AU75" i="3" s="1"/>
  <c r="AG75" i="3"/>
  <c r="BI75" i="3" s="1"/>
  <c r="W75" i="3"/>
  <c r="AY75" i="3" s="1"/>
  <c r="T75" i="3"/>
  <c r="AV75" i="3" s="1"/>
  <c r="O75" i="3"/>
  <c r="AQ75" i="3" s="1"/>
  <c r="Q75" i="3"/>
  <c r="AS75" i="3" s="1"/>
  <c r="Y75" i="3"/>
  <c r="BA75" i="3" s="1"/>
  <c r="P75" i="3"/>
  <c r="AR75" i="3" s="1"/>
  <c r="N75" i="3"/>
  <c r="AP75" i="3" s="1"/>
  <c r="AD75" i="3"/>
  <c r="BF75" i="3" s="1"/>
  <c r="N64" i="3"/>
  <c r="T64" i="3"/>
  <c r="AI64" i="3"/>
  <c r="AE64" i="3"/>
  <c r="Q64" i="3"/>
  <c r="AB64" i="3"/>
  <c r="AJ64" i="3"/>
  <c r="X64" i="3"/>
  <c r="V64" i="3"/>
  <c r="AL64" i="3"/>
  <c r="AM64" i="3"/>
  <c r="AK64" i="3"/>
  <c r="Y64" i="3"/>
  <c r="S64" i="3"/>
  <c r="AF64" i="3"/>
  <c r="AO64" i="3"/>
  <c r="BR126" i="3" s="1"/>
  <c r="L64" i="3"/>
  <c r="BR115" i="3" s="1"/>
  <c r="I119" i="3"/>
  <c r="L119" i="3" s="1"/>
  <c r="K120" i="2"/>
  <c r="O120" i="2" s="1"/>
  <c r="K77" i="2"/>
  <c r="O77" i="2" s="1"/>
  <c r="I77" i="3" s="1"/>
  <c r="L77" i="3" s="1"/>
  <c r="O76" i="2"/>
  <c r="I76" i="3" s="1"/>
  <c r="L76" i="3" s="1"/>
  <c r="BF140" i="3" l="1"/>
  <c r="CC126" i="3" s="1"/>
  <c r="BX115" i="3"/>
  <c r="BW115" i="3"/>
  <c r="BY115" i="3"/>
  <c r="AZ140" i="3"/>
  <c r="CB134" i="3" s="1"/>
  <c r="AX140" i="3"/>
  <c r="CB118" i="3" s="1"/>
  <c r="BA140" i="3"/>
  <c r="CB142" i="3" s="1"/>
  <c r="BM140" i="3"/>
  <c r="CD126" i="3" s="1"/>
  <c r="R140" i="3"/>
  <c r="BC140" i="3"/>
  <c r="BX126" i="3" s="1"/>
  <c r="AT140" i="3"/>
  <c r="BT137" i="3" s="1"/>
  <c r="BL140" i="3"/>
  <c r="CD118" i="3" s="1"/>
  <c r="X140" i="3"/>
  <c r="AD140" i="3"/>
  <c r="AP138" i="3"/>
  <c r="AP140" i="3" s="1"/>
  <c r="BR137" i="3" s="1"/>
  <c r="N140" i="3"/>
  <c r="AR138" i="3"/>
  <c r="AR140" i="3" s="1"/>
  <c r="BS137" i="3" s="1"/>
  <c r="P140" i="3"/>
  <c r="AA140" i="3"/>
  <c r="AY138" i="3"/>
  <c r="AY140" i="3" s="1"/>
  <c r="CB126" i="3" s="1"/>
  <c r="W140" i="3"/>
  <c r="AW138" i="3"/>
  <c r="AW140" i="3" s="1"/>
  <c r="BW134" i="3" s="1"/>
  <c r="U140" i="3"/>
  <c r="AQ138" i="3"/>
  <c r="AQ140" i="3" s="1"/>
  <c r="BS129" i="3" s="1"/>
  <c r="O140" i="3"/>
  <c r="AV138" i="3"/>
  <c r="AV140" i="3" s="1"/>
  <c r="BW126" i="3" s="1"/>
  <c r="T140" i="3"/>
  <c r="BG138" i="3"/>
  <c r="BG140" i="3" s="1"/>
  <c r="CC134" i="3" s="1"/>
  <c r="AE140" i="3"/>
  <c r="AS138" i="3"/>
  <c r="AS140" i="3" s="1"/>
  <c r="BT129" i="3" s="1"/>
  <c r="Q140" i="3"/>
  <c r="AU138" i="3"/>
  <c r="AU140" i="3" s="1"/>
  <c r="S140" i="3"/>
  <c r="BE138" i="3"/>
  <c r="BE140" i="3" s="1"/>
  <c r="CC118" i="3" s="1"/>
  <c r="AC140" i="3"/>
  <c r="AO138" i="3"/>
  <c r="AO140" i="3" s="1"/>
  <c r="BR129" i="3" s="1"/>
  <c r="M140" i="3"/>
  <c r="BI138" i="3"/>
  <c r="BI140" i="3" s="1"/>
  <c r="AG140" i="3"/>
  <c r="BD138" i="3"/>
  <c r="BD140" i="3" s="1"/>
  <c r="BX134" i="3" s="1"/>
  <c r="AB140" i="3"/>
  <c r="BO138" i="3"/>
  <c r="BO140" i="3" s="1"/>
  <c r="CD142" i="3" s="1"/>
  <c r="AM140" i="3"/>
  <c r="BN138" i="3"/>
  <c r="BN140" i="3" s="1"/>
  <c r="CD134" i="3" s="1"/>
  <c r="AL140" i="3"/>
  <c r="AK140" i="3"/>
  <c r="BH138" i="3"/>
  <c r="BH140" i="3" s="1"/>
  <c r="CC142" i="3" s="1"/>
  <c r="AF140" i="3"/>
  <c r="BB138" i="3"/>
  <c r="BB140" i="3" s="1"/>
  <c r="Z140" i="3"/>
  <c r="BK138" i="3"/>
  <c r="BK140" i="3" s="1"/>
  <c r="BY134" i="3" s="1"/>
  <c r="AI140" i="3"/>
  <c r="AJ140" i="3"/>
  <c r="BJ138" i="3"/>
  <c r="BJ140" i="3" s="1"/>
  <c r="BY126" i="3" s="1"/>
  <c r="AH140" i="3"/>
  <c r="Y140" i="3"/>
  <c r="L140" i="3"/>
  <c r="BR118" i="3" s="1"/>
  <c r="V140" i="3"/>
  <c r="AM119" i="3"/>
  <c r="BO119" i="3" s="1"/>
  <c r="AI119" i="3"/>
  <c r="BK119" i="3" s="1"/>
  <c r="AE119" i="3"/>
  <c r="BG119" i="3" s="1"/>
  <c r="AA119" i="3"/>
  <c r="BC119" i="3" s="1"/>
  <c r="W119" i="3"/>
  <c r="AY119" i="3" s="1"/>
  <c r="AJ119" i="3"/>
  <c r="BL119" i="3" s="1"/>
  <c r="AF119" i="3"/>
  <c r="BH119" i="3" s="1"/>
  <c r="AB119" i="3"/>
  <c r="BD119" i="3" s="1"/>
  <c r="X119" i="3"/>
  <c r="AZ119" i="3" s="1"/>
  <c r="AK119" i="3"/>
  <c r="BM119" i="3" s="1"/>
  <c r="AG119" i="3"/>
  <c r="BI119" i="3" s="1"/>
  <c r="AC119" i="3"/>
  <c r="BE119" i="3" s="1"/>
  <c r="Y119" i="3"/>
  <c r="BA119" i="3" s="1"/>
  <c r="U119" i="3"/>
  <c r="AW119" i="3" s="1"/>
  <c r="T119" i="3"/>
  <c r="AV119" i="3" s="1"/>
  <c r="S119" i="3"/>
  <c r="AU119" i="3" s="1"/>
  <c r="R119" i="3"/>
  <c r="AT119" i="3" s="1"/>
  <c r="Q119" i="3"/>
  <c r="AS119" i="3" s="1"/>
  <c r="P119" i="3"/>
  <c r="AR119" i="3" s="1"/>
  <c r="O119" i="3"/>
  <c r="AQ119" i="3" s="1"/>
  <c r="N119" i="3"/>
  <c r="AP119" i="3" s="1"/>
  <c r="M119" i="3"/>
  <c r="AO119" i="3" s="1"/>
  <c r="AL119" i="3"/>
  <c r="BN119" i="3" s="1"/>
  <c r="V119" i="3"/>
  <c r="AX119" i="3" s="1"/>
  <c r="AH119" i="3"/>
  <c r="BJ119" i="3" s="1"/>
  <c r="Z119" i="3"/>
  <c r="BB119" i="3" s="1"/>
  <c r="AD119" i="3"/>
  <c r="BF119" i="3" s="1"/>
  <c r="AK76" i="3"/>
  <c r="BM76" i="3" s="1"/>
  <c r="AG76" i="3"/>
  <c r="BI76" i="3" s="1"/>
  <c r="AC76" i="3"/>
  <c r="BE76" i="3" s="1"/>
  <c r="Y76" i="3"/>
  <c r="BA76" i="3" s="1"/>
  <c r="AJ76" i="3"/>
  <c r="BL76" i="3" s="1"/>
  <c r="AF76" i="3"/>
  <c r="BH76" i="3" s="1"/>
  <c r="AB76" i="3"/>
  <c r="BD76" i="3" s="1"/>
  <c r="X76" i="3"/>
  <c r="AZ76" i="3" s="1"/>
  <c r="AL76" i="3"/>
  <c r="BN76" i="3" s="1"/>
  <c r="AH76" i="3"/>
  <c r="BJ76" i="3" s="1"/>
  <c r="AD76" i="3"/>
  <c r="BF76" i="3" s="1"/>
  <c r="Z76" i="3"/>
  <c r="BB76" i="3" s="1"/>
  <c r="W76" i="3"/>
  <c r="AY76" i="3" s="1"/>
  <c r="S76" i="3"/>
  <c r="AU76" i="3" s="1"/>
  <c r="AM76" i="3"/>
  <c r="BO76" i="3" s="1"/>
  <c r="AE76" i="3"/>
  <c r="BG76" i="3" s="1"/>
  <c r="V76" i="3"/>
  <c r="AX76" i="3" s="1"/>
  <c r="R76" i="3"/>
  <c r="AT76" i="3" s="1"/>
  <c r="U76" i="3"/>
  <c r="AW76" i="3" s="1"/>
  <c r="Q76" i="3"/>
  <c r="AS76" i="3" s="1"/>
  <c r="AI76" i="3"/>
  <c r="BK76" i="3" s="1"/>
  <c r="P76" i="3"/>
  <c r="AR76" i="3" s="1"/>
  <c r="M76" i="3"/>
  <c r="AO76" i="3" s="1"/>
  <c r="AA76" i="3"/>
  <c r="BC76" i="3" s="1"/>
  <c r="T76" i="3"/>
  <c r="AV76" i="3" s="1"/>
  <c r="O76" i="3"/>
  <c r="AQ76" i="3" s="1"/>
  <c r="N76" i="3"/>
  <c r="AP76" i="3" s="1"/>
  <c r="AK77" i="3"/>
  <c r="AG77" i="3"/>
  <c r="BI77" i="3" s="1"/>
  <c r="AC77" i="3"/>
  <c r="BE77" i="3" s="1"/>
  <c r="Y77" i="3"/>
  <c r="BA77" i="3" s="1"/>
  <c r="AJ77" i="3"/>
  <c r="BL77" i="3" s="1"/>
  <c r="AB77" i="3"/>
  <c r="BD77" i="3" s="1"/>
  <c r="W77" i="3"/>
  <c r="AY77" i="3" s="1"/>
  <c r="S77" i="3"/>
  <c r="AU77" i="3" s="1"/>
  <c r="AM77" i="3"/>
  <c r="AE77" i="3"/>
  <c r="BG77" i="3" s="1"/>
  <c r="AH77" i="3"/>
  <c r="BJ77" i="3" s="1"/>
  <c r="Z77" i="3"/>
  <c r="BB77" i="3" s="1"/>
  <c r="V77" i="3"/>
  <c r="AF77" i="3"/>
  <c r="BH77" i="3" s="1"/>
  <c r="X77" i="3"/>
  <c r="AZ77" i="3" s="1"/>
  <c r="AI77" i="3"/>
  <c r="BK77" i="3" s="1"/>
  <c r="N77" i="3"/>
  <c r="AP77" i="3" s="1"/>
  <c r="AL77" i="3"/>
  <c r="P77" i="3"/>
  <c r="U77" i="3"/>
  <c r="AW77" i="3" s="1"/>
  <c r="M77" i="3"/>
  <c r="AO77" i="3" s="1"/>
  <c r="T77" i="3"/>
  <c r="Q77" i="3"/>
  <c r="AS77" i="3" s="1"/>
  <c r="O77" i="3"/>
  <c r="AQ77" i="3" s="1"/>
  <c r="AA77" i="3"/>
  <c r="AD77" i="3"/>
  <c r="R77" i="3"/>
  <c r="AT77" i="3" s="1"/>
  <c r="K121" i="2"/>
  <c r="O121" i="2" s="1"/>
  <c r="I120" i="3"/>
  <c r="L120" i="3" s="1"/>
  <c r="BX118" i="3" l="1"/>
  <c r="BW118" i="3"/>
  <c r="BY118" i="3"/>
  <c r="BI108" i="3"/>
  <c r="AW108" i="3"/>
  <c r="BW132" i="3" s="1"/>
  <c r="BH108" i="3"/>
  <c r="CC140" i="3" s="1"/>
  <c r="AF108" i="3"/>
  <c r="AB108" i="3"/>
  <c r="BD108" i="3"/>
  <c r="BX132" i="3" s="1"/>
  <c r="AQ108" i="3"/>
  <c r="BS127" i="3" s="1"/>
  <c r="AP108" i="3"/>
  <c r="BR135" i="3" s="1"/>
  <c r="BG108" i="3"/>
  <c r="CC132" i="3" s="1"/>
  <c r="AU108" i="3"/>
  <c r="AZ108" i="3"/>
  <c r="CB132" i="3" s="1"/>
  <c r="AY108" i="3"/>
  <c r="CB124" i="3" s="1"/>
  <c r="BK108" i="3"/>
  <c r="BY132" i="3" s="1"/>
  <c r="AS108" i="3"/>
  <c r="BT127" i="3" s="1"/>
  <c r="BL108" i="3"/>
  <c r="CD116" i="3" s="1"/>
  <c r="BB108" i="3"/>
  <c r="BA108" i="3"/>
  <c r="CB140" i="3" s="1"/>
  <c r="AT108" i="3"/>
  <c r="BT135" i="3" s="1"/>
  <c r="BJ108" i="3"/>
  <c r="BY124" i="3" s="1"/>
  <c r="BE108" i="3"/>
  <c r="CC116" i="3" s="1"/>
  <c r="AD108" i="3"/>
  <c r="BF77" i="3"/>
  <c r="BF108" i="3" s="1"/>
  <c r="CC124" i="3" s="1"/>
  <c r="AL108" i="3"/>
  <c r="BN77" i="3"/>
  <c r="BN108" i="3" s="1"/>
  <c r="CD132" i="3" s="1"/>
  <c r="AA108" i="3"/>
  <c r="BC77" i="3"/>
  <c r="BC108" i="3" s="1"/>
  <c r="BX124" i="3" s="1"/>
  <c r="AM108" i="3"/>
  <c r="BO77" i="3"/>
  <c r="BO108" i="3" s="1"/>
  <c r="CD140" i="3" s="1"/>
  <c r="AK108" i="3"/>
  <c r="BM77" i="3"/>
  <c r="BM108" i="3" s="1"/>
  <c r="CD124" i="3" s="1"/>
  <c r="T108" i="3"/>
  <c r="AV77" i="3"/>
  <c r="AV108" i="3" s="1"/>
  <c r="BW124" i="3" s="1"/>
  <c r="V108" i="3"/>
  <c r="AX77" i="3"/>
  <c r="AX108" i="3" s="1"/>
  <c r="CB116" i="3" s="1"/>
  <c r="P108" i="3"/>
  <c r="AR77" i="3"/>
  <c r="AR108" i="3" s="1"/>
  <c r="BS135" i="3" s="1"/>
  <c r="AE108" i="3"/>
  <c r="U108" i="3"/>
  <c r="AH108" i="3"/>
  <c r="AG108" i="3"/>
  <c r="W108" i="3"/>
  <c r="AI108" i="3"/>
  <c r="Q108" i="3"/>
  <c r="AJ108" i="3"/>
  <c r="X108" i="3"/>
  <c r="Z108" i="3"/>
  <c r="Y108" i="3"/>
  <c r="O108" i="3"/>
  <c r="R108" i="3"/>
  <c r="AC108" i="3"/>
  <c r="AM120" i="3"/>
  <c r="BO120" i="3" s="1"/>
  <c r="AI120" i="3"/>
  <c r="BK120" i="3" s="1"/>
  <c r="AE120" i="3"/>
  <c r="BG120" i="3" s="1"/>
  <c r="AA120" i="3"/>
  <c r="BC120" i="3" s="1"/>
  <c r="W120" i="3"/>
  <c r="AY120" i="3" s="1"/>
  <c r="AJ120" i="3"/>
  <c r="BL120" i="3" s="1"/>
  <c r="AF120" i="3"/>
  <c r="BH120" i="3" s="1"/>
  <c r="AB120" i="3"/>
  <c r="BD120" i="3" s="1"/>
  <c r="X120" i="3"/>
  <c r="AZ120" i="3" s="1"/>
  <c r="AK120" i="3"/>
  <c r="BM120" i="3" s="1"/>
  <c r="AD120" i="3"/>
  <c r="BF120" i="3" s="1"/>
  <c r="N120" i="3"/>
  <c r="AP120" i="3" s="1"/>
  <c r="AL120" i="3"/>
  <c r="BN120" i="3" s="1"/>
  <c r="Y120" i="3"/>
  <c r="BA120" i="3" s="1"/>
  <c r="O120" i="3"/>
  <c r="AQ120" i="3" s="1"/>
  <c r="Z120" i="3"/>
  <c r="BB120" i="3" s="1"/>
  <c r="V120" i="3"/>
  <c r="AX120" i="3" s="1"/>
  <c r="S120" i="3"/>
  <c r="AU120" i="3" s="1"/>
  <c r="U120" i="3"/>
  <c r="AW120" i="3" s="1"/>
  <c r="AH120" i="3"/>
  <c r="BJ120" i="3" s="1"/>
  <c r="Q120" i="3"/>
  <c r="AS120" i="3" s="1"/>
  <c r="M120" i="3"/>
  <c r="AO120" i="3" s="1"/>
  <c r="R120" i="3"/>
  <c r="AT120" i="3" s="1"/>
  <c r="AC120" i="3"/>
  <c r="BE120" i="3" s="1"/>
  <c r="T120" i="3"/>
  <c r="AV120" i="3" s="1"/>
  <c r="P120" i="3"/>
  <c r="AR120" i="3" s="1"/>
  <c r="AG120" i="3"/>
  <c r="BI120" i="3" s="1"/>
  <c r="N108" i="3"/>
  <c r="S108" i="3"/>
  <c r="L108" i="3"/>
  <c r="BR116" i="3" s="1"/>
  <c r="M108" i="3"/>
  <c r="AO108" i="3"/>
  <c r="BR127" i="3" s="1"/>
  <c r="I121" i="3"/>
  <c r="L121" i="3" s="1"/>
  <c r="K122" i="2"/>
  <c r="O122" i="2" l="1"/>
  <c r="I122" i="3" s="1"/>
  <c r="BY116" i="3"/>
  <c r="BW116" i="3"/>
  <c r="BX116" i="3"/>
  <c r="AL121" i="3"/>
  <c r="BN121" i="3" s="1"/>
  <c r="AH121" i="3"/>
  <c r="BJ121" i="3" s="1"/>
  <c r="AD121" i="3"/>
  <c r="BF121" i="3" s="1"/>
  <c r="Z121" i="3"/>
  <c r="BB121" i="3" s="1"/>
  <c r="V121" i="3"/>
  <c r="AX121" i="3" s="1"/>
  <c r="AM121" i="3"/>
  <c r="BO121" i="3" s="1"/>
  <c r="AI121" i="3"/>
  <c r="BK121" i="3" s="1"/>
  <c r="AE121" i="3"/>
  <c r="BG121" i="3" s="1"/>
  <c r="AA121" i="3"/>
  <c r="BC121" i="3" s="1"/>
  <c r="W121" i="3"/>
  <c r="AY121" i="3" s="1"/>
  <c r="AJ121" i="3"/>
  <c r="BL121" i="3" s="1"/>
  <c r="AF121" i="3"/>
  <c r="BH121" i="3" s="1"/>
  <c r="AB121" i="3"/>
  <c r="BD121" i="3" s="1"/>
  <c r="X121" i="3"/>
  <c r="AZ121" i="3" s="1"/>
  <c r="AG121" i="3"/>
  <c r="BI121" i="3" s="1"/>
  <c r="R121" i="3"/>
  <c r="AT121" i="3" s="1"/>
  <c r="N121" i="3"/>
  <c r="AP121" i="3" s="1"/>
  <c r="O121" i="3"/>
  <c r="AQ121" i="3" s="1"/>
  <c r="T121" i="3"/>
  <c r="AV121" i="3" s="1"/>
  <c r="Y121" i="3"/>
  <c r="BA121" i="3" s="1"/>
  <c r="AC121" i="3"/>
  <c r="BE121" i="3" s="1"/>
  <c r="P121" i="3"/>
  <c r="AR121" i="3" s="1"/>
  <c r="S121" i="3"/>
  <c r="AU121" i="3" s="1"/>
  <c r="M121" i="3"/>
  <c r="AO121" i="3" s="1"/>
  <c r="AK121" i="3"/>
  <c r="BM121" i="3" s="1"/>
  <c r="U121" i="3"/>
  <c r="AW121" i="3" s="1"/>
  <c r="Q121" i="3"/>
  <c r="AS121" i="3" s="1"/>
  <c r="L122" i="3" l="1"/>
  <c r="L126" i="3" s="1"/>
  <c r="L141" i="3" s="1"/>
  <c r="V122" i="3"/>
  <c r="AX122" i="3" s="1"/>
  <c r="N122" i="3"/>
  <c r="AP122" i="3" s="1"/>
  <c r="P122" i="3"/>
  <c r="AR122" i="3" s="1"/>
  <c r="AJ122" i="3"/>
  <c r="BL122" i="3" s="1"/>
  <c r="U122" i="3"/>
  <c r="AW122" i="3" s="1"/>
  <c r="O122" i="3"/>
  <c r="AQ122" i="3" s="1"/>
  <c r="AM122" i="3"/>
  <c r="BO122" i="3" s="1"/>
  <c r="AI122" i="3"/>
  <c r="BK122" i="3" s="1"/>
  <c r="M122" i="3"/>
  <c r="AO122" i="3" s="1"/>
  <c r="AK122" i="3"/>
  <c r="BM122" i="3" s="1"/>
  <c r="AE122" i="3"/>
  <c r="BG122" i="3" s="1"/>
  <c r="Y122" i="3"/>
  <c r="BA122" i="3" s="1"/>
  <c r="X122" i="3"/>
  <c r="AZ122" i="3" s="1"/>
  <c r="S122" i="3"/>
  <c r="AU122" i="3" s="1"/>
  <c r="AG122" i="3"/>
  <c r="BI122" i="3" s="1"/>
  <c r="AH122" i="3"/>
  <c r="BJ122" i="3" s="1"/>
  <c r="AF122" i="3"/>
  <c r="BH122" i="3" s="1"/>
  <c r="Z122" i="3"/>
  <c r="BB122" i="3" s="1"/>
  <c r="AB122" i="3"/>
  <c r="BD122" i="3" s="1"/>
  <c r="AA122" i="3"/>
  <c r="BC122" i="3" s="1"/>
  <c r="AC122" i="3"/>
  <c r="BE122" i="3" s="1"/>
  <c r="W122" i="3"/>
  <c r="AY122" i="3" s="1"/>
  <c r="R122" i="3"/>
  <c r="AT122" i="3" s="1"/>
  <c r="AL122" i="3"/>
  <c r="BN122" i="3" s="1"/>
  <c r="AD122" i="3"/>
  <c r="BF122" i="3" s="1"/>
  <c r="T122" i="3"/>
  <c r="T126" i="3" s="1"/>
  <c r="T141" i="3" s="1"/>
  <c r="Q122" i="3"/>
  <c r="AS122" i="3" s="1"/>
  <c r="BF111" i="3"/>
  <c r="AI111" i="3"/>
  <c r="BC111" i="3"/>
  <c r="AY111" i="3"/>
  <c r="AK111" i="3"/>
  <c r="AQ111" i="3"/>
  <c r="AW111" i="3"/>
  <c r="AP111" i="3"/>
  <c r="AR111" i="3"/>
  <c r="AH111" i="3"/>
  <c r="AO111" i="3"/>
  <c r="BH111" i="3"/>
  <c r="AU111" i="3"/>
  <c r="BE111" i="3"/>
  <c r="AL111" i="3"/>
  <c r="AS111" i="3"/>
  <c r="AX111" i="3"/>
  <c r="BA111" i="3"/>
  <c r="BG111" i="3"/>
  <c r="BB111" i="3"/>
  <c r="AV111" i="3"/>
  <c r="AT111" i="3"/>
  <c r="BD111" i="3"/>
  <c r="AZ111" i="3"/>
  <c r="AJ111" i="3"/>
  <c r="BL111" i="3" s="1"/>
  <c r="AM111" i="3"/>
  <c r="BO111" i="3" s="1"/>
  <c r="BI111" i="3"/>
  <c r="AX126" i="3" l="1"/>
  <c r="CB117" i="3" s="1"/>
  <c r="Y126" i="3"/>
  <c r="Y141" i="3" s="1"/>
  <c r="O126" i="3"/>
  <c r="O141" i="3" s="1"/>
  <c r="BA126" i="3"/>
  <c r="BA141" i="3" s="1"/>
  <c r="AL126" i="3"/>
  <c r="AL141" i="3" s="1"/>
  <c r="S126" i="3"/>
  <c r="S141" i="3" s="1"/>
  <c r="X126" i="3"/>
  <c r="X141" i="3" s="1"/>
  <c r="AH126" i="3"/>
  <c r="AH141" i="3" s="1"/>
  <c r="N126" i="3"/>
  <c r="N141" i="3" s="1"/>
  <c r="Z126" i="3"/>
  <c r="Z141" i="3" s="1"/>
  <c r="U126" i="3"/>
  <c r="U141" i="3" s="1"/>
  <c r="AK126" i="3"/>
  <c r="AK141" i="3" s="1"/>
  <c r="AA126" i="3"/>
  <c r="AA141" i="3" s="1"/>
  <c r="BL126" i="3"/>
  <c r="CD117" i="3" s="1"/>
  <c r="AW126" i="3"/>
  <c r="BW133" i="3" s="1"/>
  <c r="AG126" i="3"/>
  <c r="AG141" i="3" s="1"/>
  <c r="BI126" i="3"/>
  <c r="BY117" i="3" s="1"/>
  <c r="P126" i="3"/>
  <c r="P141" i="3" s="1"/>
  <c r="V126" i="3"/>
  <c r="V141" i="3" s="1"/>
  <c r="M126" i="3"/>
  <c r="M141" i="3" s="1"/>
  <c r="AZ126" i="3"/>
  <c r="CB133" i="3" s="1"/>
  <c r="BF126" i="3"/>
  <c r="BF141" i="3" s="1"/>
  <c r="AS126" i="3"/>
  <c r="BT128" i="3" s="1"/>
  <c r="AR126" i="3"/>
  <c r="BS136" i="3" s="1"/>
  <c r="AI126" i="3"/>
  <c r="AI141" i="3" s="1"/>
  <c r="AD126" i="3"/>
  <c r="AD141" i="3" s="1"/>
  <c r="BB126" i="3"/>
  <c r="BX117" i="3" s="1"/>
  <c r="AF126" i="3"/>
  <c r="AF141" i="3" s="1"/>
  <c r="AV122" i="3"/>
  <c r="AV126" i="3" s="1"/>
  <c r="BW125" i="3" s="1"/>
  <c r="AU126" i="3"/>
  <c r="AU141" i="3" s="1"/>
  <c r="AY126" i="3"/>
  <c r="CB125" i="3" s="1"/>
  <c r="AE126" i="3"/>
  <c r="AE141" i="3" s="1"/>
  <c r="BO126" i="3"/>
  <c r="BO141" i="3" s="1"/>
  <c r="AT126" i="3"/>
  <c r="AT141" i="3" s="1"/>
  <c r="W126" i="3"/>
  <c r="W141" i="3" s="1"/>
  <c r="BD126" i="3"/>
  <c r="BD141" i="3" s="1"/>
  <c r="BE126" i="3"/>
  <c r="BE141" i="3" s="1"/>
  <c r="AB126" i="3"/>
  <c r="AB141" i="3" s="1"/>
  <c r="BG126" i="3"/>
  <c r="CC133" i="3" s="1"/>
  <c r="Q126" i="3"/>
  <c r="Q141" i="3" s="1"/>
  <c r="AC126" i="3"/>
  <c r="AC141" i="3" s="1"/>
  <c r="AO126" i="3"/>
  <c r="BR128" i="3" s="1"/>
  <c r="R126" i="3"/>
  <c r="R141" i="3" s="1"/>
  <c r="BH126" i="3"/>
  <c r="AP126" i="3"/>
  <c r="BR136" i="3" s="1"/>
  <c r="BC126" i="3"/>
  <c r="BX125" i="3" s="1"/>
  <c r="BJ111" i="3"/>
  <c r="BJ126" i="3" s="1"/>
  <c r="BY125" i="3" s="1"/>
  <c r="AQ126" i="3"/>
  <c r="AQ141" i="3" s="1"/>
  <c r="AJ126" i="3"/>
  <c r="AJ141" i="3" s="1"/>
  <c r="BN111" i="3"/>
  <c r="BN126" i="3" s="1"/>
  <c r="AM126" i="3"/>
  <c r="AM141" i="3" s="1"/>
  <c r="BM111" i="3"/>
  <c r="BM126" i="3" s="1"/>
  <c r="BK111" i="3"/>
  <c r="BK126" i="3" s="1"/>
  <c r="BR117" i="3"/>
  <c r="BR119" i="3" s="1"/>
  <c r="AX141" i="3" l="1"/>
  <c r="BI141" i="3"/>
  <c r="CB141" i="3"/>
  <c r="AW141" i="3"/>
  <c r="AZ141" i="3"/>
  <c r="AY141" i="3"/>
  <c r="BL141" i="3"/>
  <c r="BW117" i="3"/>
  <c r="AR141" i="3"/>
  <c r="AS141" i="3"/>
  <c r="CC125" i="3"/>
  <c r="BB141" i="3"/>
  <c r="CC117" i="3"/>
  <c r="BG141" i="3"/>
  <c r="CD141" i="3"/>
  <c r="BT136" i="3"/>
  <c r="AO141" i="3"/>
  <c r="BX133" i="3"/>
  <c r="BN141" i="3"/>
  <c r="CD133" i="3"/>
  <c r="BH141" i="3"/>
  <c r="CC141" i="3"/>
  <c r="BM141" i="3"/>
  <c r="CD125" i="3"/>
  <c r="AV141" i="3"/>
  <c r="BJ141" i="3"/>
  <c r="AP141" i="3"/>
  <c r="BS128" i="3"/>
  <c r="BC141" i="3"/>
  <c r="BY133" i="3"/>
  <c r="BK14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de Windows</author>
  </authors>
  <commentList>
    <comment ref="C19" authorId="0" shapeId="0" xr:uid="{00000000-0006-0000-0100-000001000000}">
      <text>
        <r>
          <rPr>
            <b/>
            <sz val="9"/>
            <color indexed="81"/>
            <rFont val="Tahoma"/>
            <family val="2"/>
          </rPr>
          <t>vida util de la estructura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tc={8AF532B2-5F85-405A-B935-B277ED643A83}</author>
    <author>Usuario de Windows</author>
  </authors>
  <commentList>
    <comment ref="G19" authorId="0" shapeId="0" xr:uid="{00000000-0006-0000-02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The user will choose the materil of the "material impctr data" tab, entrering here its Mat code</t>
      </text>
    </comment>
    <comment ref="I111" authorId="1" shapeId="0" xr:uid="{00000000-0006-0000-0200-000003000000}">
      <text>
        <r>
          <rPr>
            <b/>
            <sz val="9"/>
            <color indexed="81"/>
            <rFont val="Tahoma"/>
            <family val="2"/>
          </rPr>
          <t>Usuario de Windows:</t>
        </r>
        <r>
          <rPr>
            <sz val="9"/>
            <color indexed="81"/>
            <rFont val="Tahoma"/>
            <family val="2"/>
          </rPr>
          <t xml:space="preserve">
En caso de no cumplir aumentar el espesor de esta capa.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 de Windows</author>
  </authors>
  <commentList>
    <comment ref="W19" authorId="0" shapeId="0" xr:uid="{00000000-0006-0000-0300-000001000000}">
      <text>
        <r>
          <rPr>
            <b/>
            <sz val="9"/>
            <color indexed="81"/>
            <rFont val="Tahoma"/>
            <family val="2"/>
          </rPr>
          <t xml:space="preserve">Eutrophication potential-freshwater </t>
        </r>
      </text>
    </comment>
    <comment ref="E25" authorId="0" shapeId="0" xr:uid="{00000000-0006-0000-0300-000002000000}">
      <text>
        <r>
          <rPr>
            <b/>
            <sz val="9"/>
            <color indexed="81"/>
            <rFont val="Tahoma"/>
            <family val="2"/>
          </rPr>
          <t>Usuario de Windows:</t>
        </r>
        <r>
          <rPr>
            <sz val="9"/>
            <color indexed="81"/>
            <rFont val="Tahoma"/>
            <family val="2"/>
          </rPr>
          <t xml:space="preserve">
A4-A5 comprobado con CYP, viga de madera laminada encolada</t>
        </r>
      </text>
    </comment>
    <comment ref="M27" authorId="0" shapeId="0" xr:uid="{00000000-0006-0000-0300-000003000000}">
      <text>
        <r>
          <rPr>
            <b/>
            <sz val="9"/>
            <color indexed="81"/>
            <rFont val="Tahoma"/>
            <family val="2"/>
          </rPr>
          <t>Usar los valores para una densidad de 375 kg/m3</t>
        </r>
      </text>
    </comment>
    <comment ref="J28" authorId="0" shapeId="0" xr:uid="{00000000-0006-0000-0300-000004000000}">
      <text>
        <r>
          <rPr>
            <b/>
            <sz val="9"/>
            <color indexed="81"/>
            <rFont val="Tahoma"/>
            <family val="2"/>
          </rPr>
          <t>Usuario de Windows:</t>
        </r>
        <r>
          <rPr>
            <sz val="9"/>
            <color indexed="81"/>
            <rFont val="Tahoma"/>
            <family val="2"/>
          </rPr>
          <t xml:space="preserve">
Para  pasar a eur/kg se multiplica por la densidad</t>
        </r>
      </text>
    </comment>
    <comment ref="F34" authorId="0" shapeId="0" xr:uid="{00000000-0006-0000-0300-000005000000}">
      <text>
        <r>
          <rPr>
            <b/>
            <sz val="9"/>
            <color indexed="81"/>
            <rFont val="Tahoma"/>
            <family val="2"/>
          </rPr>
          <t>Usuario de Windows:</t>
        </r>
        <r>
          <rPr>
            <sz val="9"/>
            <color indexed="81"/>
            <rFont val="Tahoma"/>
            <family val="2"/>
          </rPr>
          <t xml:space="preserve">
Referencia: generador de precios de cype como adhesivo cementoso</t>
        </r>
      </text>
    </comment>
    <comment ref="E36" authorId="0" shapeId="0" xr:uid="{00000000-0006-0000-0300-000006000000}">
      <text>
        <r>
          <rPr>
            <b/>
            <sz val="9"/>
            <color indexed="81"/>
            <rFont val="Tahoma"/>
            <family val="2"/>
          </rPr>
          <t>Usuario de Windows:</t>
        </r>
        <r>
          <rPr>
            <sz val="9"/>
            <color indexed="81"/>
            <rFont val="Tahoma"/>
            <family val="2"/>
          </rPr>
          <t xml:space="preserve">
Valores de impacto comprobados</t>
        </r>
      </text>
    </comment>
    <comment ref="E39" authorId="0" shapeId="0" xr:uid="{00000000-0006-0000-0300-000007000000}">
      <text>
        <r>
          <rPr>
            <b/>
            <sz val="9"/>
            <color indexed="81"/>
            <rFont val="Tahoma"/>
            <family val="2"/>
          </rPr>
          <t>Usuario de Windows:</t>
        </r>
        <r>
          <rPr>
            <sz val="9"/>
            <color indexed="81"/>
            <rFont val="Tahoma"/>
            <family val="2"/>
          </rPr>
          <t xml:space="preserve">
Genera impactos altos pero comprobado que son correctos</t>
        </r>
      </text>
    </comment>
    <comment ref="J45" authorId="0" shapeId="0" xr:uid="{00000000-0006-0000-0300-000008000000}">
      <text>
        <r>
          <rPr>
            <b/>
            <sz val="9"/>
            <color indexed="81"/>
            <rFont val="Tahoma"/>
            <family val="2"/>
          </rPr>
          <t>Usuario de Windows:</t>
        </r>
        <r>
          <rPr>
            <sz val="9"/>
            <color indexed="81"/>
            <rFont val="Tahoma"/>
            <family val="2"/>
          </rPr>
          <t xml:space="preserve">
REVISAR ESTE PRECIO Y SUS UDS</t>
        </r>
      </text>
    </comment>
    <comment ref="E46" authorId="0" shapeId="0" xr:uid="{00000000-0006-0000-0300-000009000000}">
      <text>
        <r>
          <rPr>
            <b/>
            <sz val="9"/>
            <color indexed="81"/>
            <rFont val="Tahoma"/>
            <family val="2"/>
          </rPr>
          <t>Usuario de Windows:</t>
        </r>
        <r>
          <rPr>
            <sz val="9"/>
            <color indexed="81"/>
            <rFont val="Tahoma"/>
            <family val="2"/>
          </rPr>
          <t xml:space="preserve">
 Comprobado en CYPE con placa de yeso laminado</t>
        </r>
      </text>
    </comment>
    <comment ref="E55" authorId="0" shapeId="0" xr:uid="{00000000-0006-0000-0300-00000A000000}">
      <text>
        <r>
          <rPr>
            <b/>
            <sz val="9"/>
            <color indexed="81"/>
            <rFont val="Tahoma"/>
            <family val="2"/>
          </rPr>
          <t>Usuario de Windows:</t>
        </r>
        <r>
          <rPr>
            <sz val="9"/>
            <color indexed="81"/>
            <rFont val="Tahoma"/>
            <family val="2"/>
          </rPr>
          <t xml:space="preserve">
Valores de impactos altos pero comprobados, OK!</t>
        </r>
      </text>
    </comment>
    <comment ref="F57" authorId="0" shapeId="0" xr:uid="{00000000-0006-0000-0300-00000B000000}">
      <text>
        <r>
          <rPr>
            <b/>
            <sz val="9"/>
            <color indexed="81"/>
            <rFont val="Tahoma"/>
            <family val="2"/>
          </rPr>
          <t>Usuario de Windows:</t>
        </r>
        <r>
          <rPr>
            <sz val="9"/>
            <color indexed="81"/>
            <rFont val="Tahoma"/>
            <family val="2"/>
          </rPr>
          <t xml:space="preserve">
Se ha obtenido de un catálogo de un fabricante externo en internet (Ventanas DAP de Kommerling)
https://retokommerling.com/declaracion-ambiental-producto-ventanas/</t>
        </r>
      </text>
    </comment>
    <comment ref="Z59" authorId="0" shapeId="0" xr:uid="{00000000-0006-0000-0300-00000C000000}">
      <text>
        <r>
          <rPr>
            <b/>
            <sz val="9"/>
            <color indexed="81"/>
            <rFont val="Tahoma"/>
            <family val="2"/>
          </rPr>
          <t>Usuario de Windows:</t>
        </r>
        <r>
          <rPr>
            <sz val="9"/>
            <color indexed="81"/>
            <rFont val="Tahoma"/>
            <family val="2"/>
          </rPr>
          <t xml:space="preserve">
En A4-A5 Se han utilizado los mismos valores que para la puerta interior de madera.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Usuario de Windows</author>
  </authors>
  <commentList>
    <comment ref="M26" authorId="0" shapeId="0" xr:uid="{00000000-0006-0000-0400-000001000000}">
      <text>
        <r>
          <rPr>
            <sz val="9"/>
            <color indexed="81"/>
            <rFont val="Tahoma"/>
            <family val="2"/>
          </rPr>
          <t xml:space="preserve">impacto unitario por la cuantia que tenemos. 
</t>
        </r>
      </text>
    </comment>
    <comment ref="L37" authorId="0" shapeId="0" xr:uid="{00000000-0006-0000-0400-000002000000}">
      <text>
        <r>
          <rPr>
            <b/>
            <sz val="9"/>
            <color indexed="81"/>
            <rFont val="Tahoma"/>
            <family val="2"/>
          </rPr>
          <t>Usuario de Windows:</t>
        </r>
        <r>
          <rPr>
            <sz val="9"/>
            <color indexed="81"/>
            <rFont val="Tahoma"/>
            <family val="2"/>
          </rPr>
          <t xml:space="preserve">
AÑADIR UNA GRÁFICA COMPARATIVA DE LOS COSTES, PERT, PENRT, GWP</t>
        </r>
      </text>
    </comment>
    <comment ref="V71" authorId="0" shapeId="0" xr:uid="{00000000-0006-0000-0400-000003000000}">
      <text>
        <r>
          <rPr>
            <b/>
            <sz val="9"/>
            <color indexed="81"/>
            <rFont val="Tahoma"/>
            <family val="2"/>
          </rPr>
          <t>Usuario de Windows:</t>
        </r>
        <r>
          <rPr>
            <sz val="9"/>
            <color indexed="81"/>
            <rFont val="Tahoma"/>
            <family val="2"/>
          </rPr>
          <t xml:space="preserve">
Valor muy elevado pero comprobado</t>
        </r>
      </text>
    </comment>
    <comment ref="U123" authorId="0" shapeId="0" xr:uid="{00000000-0006-0000-0400-000004000000}">
      <text>
        <r>
          <rPr>
            <b/>
            <sz val="9"/>
            <color indexed="81"/>
            <rFont val="Tahoma"/>
            <family val="2"/>
          </rPr>
          <t>Usuario de Windows:</t>
        </r>
        <r>
          <rPr>
            <sz val="9"/>
            <color indexed="81"/>
            <rFont val="Tahoma"/>
            <family val="2"/>
          </rPr>
          <t xml:space="preserve">
Este valor sube mucho el ADPE, pero es correcto</t>
        </r>
      </text>
    </comment>
  </commentList>
</comments>
</file>

<file path=xl/sharedStrings.xml><?xml version="1.0" encoding="utf-8"?>
<sst xmlns="http://schemas.openxmlformats.org/spreadsheetml/2006/main" count="2165" uniqueCount="802">
  <si>
    <t>Purpose</t>
  </si>
  <si>
    <t>Descriptions</t>
  </si>
  <si>
    <t>The building elements are categoriesed according to Level(S)</t>
  </si>
  <si>
    <t>Table 11 in User manual 2: Setting up a project
to use the Level(s) common
framework
(Publication version 1.1)</t>
  </si>
  <si>
    <t>For instance</t>
  </si>
  <si>
    <t>https://co2data.fi/rakentaminen/</t>
  </si>
  <si>
    <t>https://www.eco-platform.org/epd-data.html</t>
  </si>
  <si>
    <t>Contact</t>
  </si>
  <si>
    <t>https://bimlca.eu/</t>
  </si>
  <si>
    <t>Building type</t>
  </si>
  <si>
    <t>Address</t>
  </si>
  <si>
    <t>Street 1</t>
  </si>
  <si>
    <t>Analysed service life</t>
  </si>
  <si>
    <t>Country</t>
  </si>
  <si>
    <t>m3</t>
  </si>
  <si>
    <t>kg</t>
  </si>
  <si>
    <t>MJ</t>
  </si>
  <si>
    <t>Building part</t>
  </si>
  <si>
    <t>Unit</t>
  </si>
  <si>
    <t>Concrete</t>
  </si>
  <si>
    <t>Rebar</t>
  </si>
  <si>
    <t>Structural steel</t>
  </si>
  <si>
    <t>rebar</t>
  </si>
  <si>
    <t>Description</t>
  </si>
  <si>
    <t>Energy emissions</t>
  </si>
  <si>
    <t>Energy type</t>
  </si>
  <si>
    <t>B6</t>
  </si>
  <si>
    <t>Electricity, Norway</t>
  </si>
  <si>
    <t>Physical consumption mix, low voltage</t>
  </si>
  <si>
    <t>kwh</t>
  </si>
  <si>
    <t>Electricity, Spain</t>
  </si>
  <si>
    <t>Electricity, Romania</t>
  </si>
  <si>
    <t>Electricity, Europe</t>
  </si>
  <si>
    <t>District heating, Norway</t>
  </si>
  <si>
    <t>Natural gas</t>
  </si>
  <si>
    <t>Firewood</t>
  </si>
  <si>
    <t>Geothermal</t>
  </si>
  <si>
    <t>Module</t>
  </si>
  <si>
    <t>GWP</t>
  </si>
  <si>
    <t>A1-A3</t>
  </si>
  <si>
    <t>chrome-extension://efaidnbmnnnibpcajpcglclefindmkaj/https://susproc.jrc.ec.europa.eu/product-bureau/sites/default/files/2021-01/UM2_Setting_up_a_project_to_use_Level%28s%29_v1.1_26pp.pdf</t>
  </si>
  <si>
    <t>Building element types / building elements</t>
  </si>
  <si>
    <t>Mat Code</t>
  </si>
  <si>
    <t xml:space="preserve">Type of Material </t>
  </si>
  <si>
    <t>Type of Material</t>
  </si>
  <si>
    <t>Structure</t>
  </si>
  <si>
    <t>Material Name</t>
  </si>
  <si>
    <t xml:space="preserve">Data base source </t>
  </si>
  <si>
    <t>Link to data base mat info</t>
  </si>
  <si>
    <t>Note 1:</t>
  </si>
  <si>
    <t>Galvanized steel plates</t>
  </si>
  <si>
    <t>Precast concrete beams</t>
  </si>
  <si>
    <t>Concrete o ceramic blocks</t>
  </si>
  <si>
    <t>Formula</t>
  </si>
  <si>
    <t>Windows</t>
  </si>
  <si>
    <t>Waterproofing layer</t>
  </si>
  <si>
    <t>Gulam Timber</t>
  </si>
  <si>
    <t>Insulation layer</t>
  </si>
  <si>
    <t>Brick walls or</t>
  </si>
  <si>
    <t>Cement mostar</t>
  </si>
  <si>
    <t>Brick walls</t>
  </si>
  <si>
    <t>Interior finish</t>
  </si>
  <si>
    <t xml:space="preserve">Cross Laminated Timber (CLT) panels </t>
  </si>
  <si>
    <t>Ceramic deck or</t>
  </si>
  <si>
    <t>Graded aggregate</t>
  </si>
  <si>
    <t>Ceramic tiles</t>
  </si>
  <si>
    <t>Tile bond coat (adhesive)</t>
  </si>
  <si>
    <t>Cleavage membrane</t>
  </si>
  <si>
    <t>Railings</t>
  </si>
  <si>
    <t>1- Foundations</t>
  </si>
  <si>
    <t>2 - Load bearing structural frame</t>
  </si>
  <si>
    <t>3 - Non-load bearing elements</t>
  </si>
  <si>
    <t>4 - Facades</t>
  </si>
  <si>
    <t>5 - Roof</t>
  </si>
  <si>
    <t>1.A - Piles</t>
  </si>
  <si>
    <t>1.B-Basement</t>
  </si>
  <si>
    <t>1.B.1-Pile Caps</t>
  </si>
  <si>
    <t>Ref.</t>
  </si>
  <si>
    <t>1.A.1</t>
  </si>
  <si>
    <t>1.B.1.1</t>
  </si>
  <si>
    <t>1.A.2</t>
  </si>
  <si>
    <t>1.B.1.2</t>
  </si>
  <si>
    <t>1.B.2-Footings</t>
  </si>
  <si>
    <t>1.B.3-Foundation beams</t>
  </si>
  <si>
    <t>1.B.4-Foundation slab</t>
  </si>
  <si>
    <t>2.A-Frames</t>
  </si>
  <si>
    <t>2.B-Load-bearing walls</t>
  </si>
  <si>
    <t>2.A.1-Beams</t>
  </si>
  <si>
    <t>2.A.2-Columns</t>
  </si>
  <si>
    <t>2.A.6-Mass timber structural floors</t>
  </si>
  <si>
    <t>3.A-Horizontal elements</t>
  </si>
  <si>
    <t>3.B-Vertical elements</t>
  </si>
  <si>
    <t>3.C-Inclined elements</t>
  </si>
  <si>
    <t>3.A.1-Ground floor slab              (non-structural)</t>
  </si>
  <si>
    <t>Laminated wood flooring</t>
  </si>
  <si>
    <t>Chipboard flooring (plywood)</t>
  </si>
  <si>
    <t>Timber battens</t>
  </si>
  <si>
    <t>Wet screed (cement mostar)</t>
  </si>
  <si>
    <t>Brick wall</t>
  </si>
  <si>
    <t>Sound insulation layer</t>
  </si>
  <si>
    <t>Galvanized steel (U, C) channel studs</t>
  </si>
  <si>
    <t>Concrete blocks</t>
  </si>
  <si>
    <t>Auxiliary quantiites</t>
  </si>
  <si>
    <t>Mostar</t>
  </si>
  <si>
    <t>External wooden cladding</t>
  </si>
  <si>
    <t>External finish</t>
  </si>
  <si>
    <t>Tiles for external cladding</t>
  </si>
  <si>
    <t>Roof tiles</t>
  </si>
  <si>
    <t>Gulam timber beams</t>
  </si>
  <si>
    <t>1.B.2.1</t>
  </si>
  <si>
    <t>1.B.2.2</t>
  </si>
  <si>
    <t>1.B.3.1</t>
  </si>
  <si>
    <t>1.B.3.2</t>
  </si>
  <si>
    <t>1.B.4.1</t>
  </si>
  <si>
    <t>1.B.4.2</t>
  </si>
  <si>
    <t>1.C.1</t>
  </si>
  <si>
    <t>1.C.2</t>
  </si>
  <si>
    <t>1.C - Retaining walls</t>
  </si>
  <si>
    <t>2.A.1.1</t>
  </si>
  <si>
    <t>2.A.1.2</t>
  </si>
  <si>
    <t>2.A.1.3</t>
  </si>
  <si>
    <t>2.A.1.4</t>
  </si>
  <si>
    <t>2.A.2.1</t>
  </si>
  <si>
    <t>2.A.2.2</t>
  </si>
  <si>
    <t>2.A.2.3</t>
  </si>
  <si>
    <t>2.A.2.4</t>
  </si>
  <si>
    <t>2.A.3.1</t>
  </si>
  <si>
    <t>2.A.3.2</t>
  </si>
  <si>
    <t>2.A.4.1</t>
  </si>
  <si>
    <t>2.A.4.2</t>
  </si>
  <si>
    <t>2.A.4.3</t>
  </si>
  <si>
    <t>2.A.5.1</t>
  </si>
  <si>
    <t>2.A.5.2</t>
  </si>
  <si>
    <t>2.A.5.3</t>
  </si>
  <si>
    <t>2.A.5.4</t>
  </si>
  <si>
    <t>2.A.6.1</t>
  </si>
  <si>
    <t>2.A.6.2</t>
  </si>
  <si>
    <t>2.B.1</t>
  </si>
  <si>
    <t>2.B.2</t>
  </si>
  <si>
    <t>2.B.3</t>
  </si>
  <si>
    <t>3.A.1.1</t>
  </si>
  <si>
    <t>3.A.1.2</t>
  </si>
  <si>
    <t>3.A.1.3</t>
  </si>
  <si>
    <t>3.A.2.1</t>
  </si>
  <si>
    <t>3.A.2.2</t>
  </si>
  <si>
    <t>3.A.2.3</t>
  </si>
  <si>
    <t>3.A.2.4</t>
  </si>
  <si>
    <t>3.A.3.1</t>
  </si>
  <si>
    <t>3.A.3.2</t>
  </si>
  <si>
    <t>3.A.3.3</t>
  </si>
  <si>
    <t>3.A.3.4</t>
  </si>
  <si>
    <t>3.A.4-Flooring Type III: Screed flooring</t>
  </si>
  <si>
    <t>3.A.4.1</t>
  </si>
  <si>
    <t>3.A.4.2</t>
  </si>
  <si>
    <t>3.B.1-Internal partition Type I: Brick walls</t>
  </si>
  <si>
    <t>3.B.3-Internal partition Type III: Structural Timber wall</t>
  </si>
  <si>
    <t>3.B.4-External party walls</t>
  </si>
  <si>
    <t>3.B.5-Parapets</t>
  </si>
  <si>
    <t>3.B.6-Railings</t>
  </si>
  <si>
    <t>3.C.1-Stairs</t>
  </si>
  <si>
    <t>3.C.2-Ramps</t>
  </si>
  <si>
    <t>4.A-External wall systems</t>
  </si>
  <si>
    <t>4.B-Facade openings</t>
  </si>
  <si>
    <t>4.A.1-Facade type I:                       with bricks or,</t>
  </si>
  <si>
    <t>4.A.2-Facade type II: Timber panels or,</t>
  </si>
  <si>
    <t>4.A.3-Facade type III:            Ventilated facade</t>
  </si>
  <si>
    <t>4.B.1-Windows</t>
  </si>
  <si>
    <t>4.B.2-Exterior doors</t>
  </si>
  <si>
    <t>Gravel ballast</t>
  </si>
  <si>
    <t>5.A.1-Finishing coat</t>
  </si>
  <si>
    <t>5.A.2-Waterproofing layer</t>
  </si>
  <si>
    <t>5.A.3-Insulation layer</t>
  </si>
  <si>
    <t>3.B.1.1</t>
  </si>
  <si>
    <t>3.B.1.2</t>
  </si>
  <si>
    <t>3.B.2.1</t>
  </si>
  <si>
    <t>3.B.2.2</t>
  </si>
  <si>
    <t>3.B.2.3</t>
  </si>
  <si>
    <t>3.B.3.1</t>
  </si>
  <si>
    <t>3.B.3.2</t>
  </si>
  <si>
    <t>3.B.3.3</t>
  </si>
  <si>
    <t>3.B.3.4</t>
  </si>
  <si>
    <t>3.B.4.1</t>
  </si>
  <si>
    <t>3.B.4.2</t>
  </si>
  <si>
    <t>3.B.4.3</t>
  </si>
  <si>
    <t>3.B.5.1</t>
  </si>
  <si>
    <t>3.B.5.2</t>
  </si>
  <si>
    <t>3.B.6</t>
  </si>
  <si>
    <t>3.B.7</t>
  </si>
  <si>
    <t>3.C.1.1</t>
  </si>
  <si>
    <t>3.C.1.2</t>
  </si>
  <si>
    <t>3.C.1.3</t>
  </si>
  <si>
    <t>3.C.1.4</t>
  </si>
  <si>
    <t>3.C.1.5</t>
  </si>
  <si>
    <t>3.C.1.6</t>
  </si>
  <si>
    <t>3.C.2.1</t>
  </si>
  <si>
    <t>3.C.2.2</t>
  </si>
  <si>
    <t>3.C.2.3</t>
  </si>
  <si>
    <t>3.C.2.4</t>
  </si>
  <si>
    <t>3.C.2.5</t>
  </si>
  <si>
    <t>4.A.1.1</t>
  </si>
  <si>
    <t>4.A.1.2</t>
  </si>
  <si>
    <t>4.A.1.3</t>
  </si>
  <si>
    <t>4.A.1.4</t>
  </si>
  <si>
    <t>4.A.2.1</t>
  </si>
  <si>
    <t>4.A.2.2</t>
  </si>
  <si>
    <t>4.A.2.3</t>
  </si>
  <si>
    <t>4.A.2.4</t>
  </si>
  <si>
    <t>4.A.2.5</t>
  </si>
  <si>
    <t>4.A.3.1</t>
  </si>
  <si>
    <t>4.A.3.2</t>
  </si>
  <si>
    <t>4.A.3.3</t>
  </si>
  <si>
    <t>4.A.3.4</t>
  </si>
  <si>
    <t>4.B.1</t>
  </si>
  <si>
    <t>4.B.2.1</t>
  </si>
  <si>
    <t>4.B.2.2</t>
  </si>
  <si>
    <t>5.A.1.1</t>
  </si>
  <si>
    <t>5.A.1.2</t>
  </si>
  <si>
    <t>5.A.2</t>
  </si>
  <si>
    <t>5.B.1-Roof tiles</t>
  </si>
  <si>
    <t xml:space="preserve">5.B.2-Mostar </t>
  </si>
  <si>
    <t>wooden deck (plywood)</t>
  </si>
  <si>
    <t>5.B.3-Waterproofing layer</t>
  </si>
  <si>
    <t>5.B.4-Decking</t>
  </si>
  <si>
    <t>5.B.5-Structure</t>
  </si>
  <si>
    <t>5.B.6-Insulation layer</t>
  </si>
  <si>
    <t>5.A.3</t>
  </si>
  <si>
    <t>5.A.4-Screed to falls</t>
  </si>
  <si>
    <t>5.A.4</t>
  </si>
  <si>
    <t>5.B.1</t>
  </si>
  <si>
    <t>5.B.2</t>
  </si>
  <si>
    <t>5.B.3</t>
  </si>
  <si>
    <t>5.B.4</t>
  </si>
  <si>
    <t>5.B.5</t>
  </si>
  <si>
    <t>5.B.6</t>
  </si>
  <si>
    <t>5.B.7</t>
  </si>
  <si>
    <t>5.B.8</t>
  </si>
  <si>
    <t>(CLT wall : e=100 mm L5s)</t>
  </si>
  <si>
    <t>CLT floors : e=160 mm L5s (for 5 m span)</t>
  </si>
  <si>
    <t>1m3 factory concrete for use in exposure classes XC2, XC3, XC4, XF1 and XA1. This corresponds to concrete exposed to moderate environmental impact as defined in DS/EN 206 DK NA. The SPD has been prepared on the basis of weighted average data from several manufacturers (average product, Industry level). The producers who provide data for the EPD cover approx. 80% of the total Danish production of factory concrete.</t>
  </si>
  <si>
    <t>Ready mixed concrete (C30/37, C35/45 SCC) - C30/37 (Foundation)</t>
  </si>
  <si>
    <t>CON1</t>
  </si>
  <si>
    <t>Abiotic depletion potential for fossil resources (ADPF)</t>
  </si>
  <si>
    <t>Abiotic depletion potential for non fossil resources (ADPE)</t>
  </si>
  <si>
    <t>Units</t>
  </si>
  <si>
    <t>ECO Platform Small Data Providers (eco-platform.org)</t>
  </si>
  <si>
    <t>Acidification potential (AP)</t>
  </si>
  <si>
    <t>kg Sb-eq.</t>
  </si>
  <si>
    <t>kg SO2-eq.</t>
  </si>
  <si>
    <t>Global warming potential (GWP)</t>
  </si>
  <si>
    <t>kg CO2-eq.</t>
  </si>
  <si>
    <t>Eutrophication potential (EP)</t>
  </si>
  <si>
    <t xml:space="preserve">	kg Phosphat-eq.</t>
  </si>
  <si>
    <t>Photochemical Ozone Creation Potential (POCP)</t>
  </si>
  <si>
    <t>Cost €</t>
  </si>
  <si>
    <t>kg Ethen-eq</t>
  </si>
  <si>
    <t>Ozone Depletion Potential (ODP)</t>
  </si>
  <si>
    <t>kq CFC 11-eq</t>
  </si>
  <si>
    <t>Environmental impacts A1-A3</t>
  </si>
  <si>
    <t>GWP (kg CO2-eq.)</t>
  </si>
  <si>
    <t>ADPF  (MJ)</t>
  </si>
  <si>
    <t xml:space="preserve">ADPE (kg Sb-eq) </t>
  </si>
  <si>
    <t xml:space="preserve">	EP (kg Phosphat-eq.)</t>
  </si>
  <si>
    <t>POCP (kg Ethen-eq)</t>
  </si>
  <si>
    <t>Energy Consumption (A1-A3)</t>
  </si>
  <si>
    <t>Energy consumption</t>
  </si>
  <si>
    <t>Total use of non renewable primary energy resource (PENRT)</t>
  </si>
  <si>
    <t>Total use of renewable primary energy resources (PERT)</t>
  </si>
  <si>
    <t>PERT (MJ)</t>
  </si>
  <si>
    <t>CON2</t>
  </si>
  <si>
    <t>ODP (kq CFC 11-eq)</t>
  </si>
  <si>
    <t>Ready mixed concrete (C30/37, C35/45 SCC) - C30/37 (Inner wall, Column and Beams)</t>
  </si>
  <si>
    <t>CON3</t>
  </si>
  <si>
    <t>Ready mixed concrete (C30/37, C35/45 SCC) - C35/45 SCC (Floor)</t>
  </si>
  <si>
    <t>STEEL DEFORMED BARS FOR CONCRETE REINFORCEMENT</t>
  </si>
  <si>
    <t>STEEL DEFORMED BARS FOR CONCRETE REINFORCEMENT are used to reinforce concrete in building constructions</t>
  </si>
  <si>
    <t>EPD Italy</t>
  </si>
  <si>
    <t>Hot rolled steel profiles</t>
  </si>
  <si>
    <t>The hot rolled steel profiles are made of steel bloom produced in electric arc furnace (EAF) process using 100% of iron scrap. The profiles constitute intermediate products commonly used for construction of power poles, roads, steel structures, supporting structures for buildings, load-bearing structures of buildings such industrial halls and warehouses as well as in railway, mining and shipbuilding industry. A specific product technical data is available at manufacturer website: www.wostsa.pl.</t>
  </si>
  <si>
    <t>https://itb.lca-data.com/datasetdetail/process.xhtml?uuid=d3641a86-d4b0-4c9b-8e3a-dced05b6c2a5&amp;version=00.03.002&amp;lang=en</t>
  </si>
  <si>
    <t>GLT</t>
  </si>
  <si>
    <t>This EPD is based on a declared unit of 1 m³ of glued laminated timber (moisture of 10% at a raw density of 464 kg/m³). The results refer to a representative average of Rubner glued laminated timber including standard beams as well as sophisticated 3D-beam components. The LCA covers 100% of the Rubner group's production referring to its sites located at Rohrbach (Austria), Ober-Grafendorf (Austria), Brixen (Italy) and Calitri (Italy).</t>
  </si>
  <si>
    <t>IBU.data (lca-data.com)</t>
  </si>
  <si>
    <t>Glued laminated timber</t>
  </si>
  <si>
    <t>Galvanized Structural Steel</t>
  </si>
  <si>
    <t>The declaration covers galvanized structural steel produced at the production site in Brande, Denmark. The declaration covers all life cycle modules from A1-A5, C1-C4 and D and is based on product-specific data provided by Give Steel A/S and background data from GaBi professional 2020 and Ecoinvent v3.6.</t>
  </si>
  <si>
    <t>https://ibudata.lca-data.com/datasetdetail/process.xhtml?uuid=6b75bee7-b123-423e-acff-1cf446864415&amp;version=00.01.000&amp;stock=PUBLIC&amp;lang=en</t>
  </si>
  <si>
    <t>md-23056-en.pdf (epddanmark.dk)</t>
  </si>
  <si>
    <t xml:space="preserve"> Autoclaved aerated concrete blocks with a dry density of 
375 kg/m3 , also called Planstein PP 2/040</t>
  </si>
  <si>
    <t>Walls and Lightweight concrete slabs</t>
  </si>
  <si>
    <t>CONB</t>
  </si>
  <si>
    <t>CERB</t>
  </si>
  <si>
    <t>Bricks such as “RT Ultima 150” and “RT 550 Unika” are used to build walls, pillars and partitions.</t>
  </si>
  <si>
    <t>Red bricks or ceramic blocks</t>
  </si>
  <si>
    <t>https://ecosmdp.eco-platform.org/datasetdetail/process.xhtml?uuid=af2d6d43-ef49-4fa5-8e50-256acd74658a&amp;version=00.01.003&amp;lang=en</t>
  </si>
  <si>
    <t>Concrete (cast in place)</t>
  </si>
  <si>
    <t>CONBEAM</t>
  </si>
  <si>
    <t>Precast concrete structures: filigree slabs, shell/double walls, one/three layer walls, balconies, stairs, columns, beams and other precast concrete products</t>
  </si>
  <si>
    <t>Precast concrete elements of structures</t>
  </si>
  <si>
    <t>Lightweight concrete slabs</t>
  </si>
  <si>
    <t>https://itb.lca-data.com/datasetdetail/process.xhtml?uuid=3af15ed3-4d46-48bc-897d-9744c41ad622&amp;version=00.03.000&amp;lang=en</t>
  </si>
  <si>
    <t>Composite steel-concrete slabs</t>
  </si>
  <si>
    <t>CLT</t>
  </si>
  <si>
    <t>Walls, slabs</t>
  </si>
  <si>
    <t>Cross Laminated Timber - CLT</t>
  </si>
  <si>
    <t xml:space="preserve">Cross Laminated Timber - CLT -Gross Density: 424.0 kg/m^3 </t>
  </si>
  <si>
    <t>https://ibudata.lca-data.com/datasetdetail/process.xhtml?uuid=83f83f8f-f21c-4682-bf81-8dc04d61e4e8&amp;version=00.01.000&amp;stock=PUBLIC&amp;lang=en</t>
  </si>
  <si>
    <t>Aggregates</t>
  </si>
  <si>
    <t>Aggregates from Uddevalla quarry - Glimmingen. Product variation: Sub base 0/150, Macadam 100/250, Macadam 150/300</t>
  </si>
  <si>
    <t>https://data.environdec.com/datasetdetail/process.xhtml?uuid=9c50324d-371e-4800-b94c-418a5689d060&amp;version=01.00.001&amp;lang=en</t>
  </si>
  <si>
    <t>AGG</t>
  </si>
  <si>
    <t>Under the Ground slab</t>
  </si>
  <si>
    <t>2.A.5.5</t>
  </si>
  <si>
    <t>Ceramic blocks</t>
  </si>
  <si>
    <t>Concrete blocks or</t>
  </si>
  <si>
    <t>ECO PORTAL - Eco Platform en (eco-platform.org)</t>
  </si>
  <si>
    <t>RTIL</t>
  </si>
  <si>
    <t>The product is produced using certified green electricity and natural gas. The declared unit is in tonnes - the mass required for roofing must be calculated using information from producer (dens=40 kg/m2)</t>
  </si>
  <si>
    <t>Roof tiles (produced using natural gas) - Red tile</t>
  </si>
  <si>
    <t>Roof</t>
  </si>
  <si>
    <t>Mineral adhesives H40® Gel, Bioflex®, H40® Sin Limítes® &amp; H40® Sem Limites</t>
  </si>
  <si>
    <t>International EPD® System - Data hub (environdec.com)</t>
  </si>
  <si>
    <t>The International EPD System: Construction products / Aggregates
The International EPD System: Construction products / Cement and building limes</t>
  </si>
  <si>
    <t>ADH</t>
  </si>
  <si>
    <t>Roof, fooring</t>
  </si>
  <si>
    <t>Mortar bed</t>
  </si>
  <si>
    <t>Cement mortars</t>
  </si>
  <si>
    <t>Roof, flooring</t>
  </si>
  <si>
    <t>POLYETHYLENE FOAM BASED PRODUCTS</t>
  </si>
  <si>
    <t>Flooring</t>
  </si>
  <si>
    <t>POLY</t>
  </si>
  <si>
    <t>Ceramic Floor Tiles</t>
  </si>
  <si>
    <t>CEFT</t>
  </si>
  <si>
    <t>m2</t>
  </si>
  <si>
    <t>Ceramic Floor Tiles 1 kg/m2</t>
  </si>
  <si>
    <t>Multi-layered engineered wood flooring</t>
  </si>
  <si>
    <t>WFL</t>
  </si>
  <si>
    <t>Multi-layered engineered wood floors are floor coverings in accordance with EN 13489 for private and commercial use in interior areas, which are either laid "floating" on screed or on other existing floors such as wood or tiles, in connection with suitable underlay materials, or are glued to the screed across the whole floor area.</t>
  </si>
  <si>
    <t>m3 of plywood products produced in Chile and installed across different countries across the world</t>
  </si>
  <si>
    <t>S-P-02010 SELEX® Plywood</t>
  </si>
  <si>
    <t>PLYW</t>
  </si>
  <si>
    <t>Flooring, partition, facades, roof</t>
  </si>
  <si>
    <t>Mineral wool insulation (high bulk density range)</t>
  </si>
  <si>
    <t>Mineral wool is the generic term for insulating materials made of glass wool and stone wool. These are non-combustible insulating materials, which consist mainly of amorphous fibres obtained from a silicate melt.
The mineral wool insulation materials described in this declaration are produced in the form of rolls, boards and mats in the high bulk density range (&gt; 120 kg/m³). The ready-made products are supplied in thicknesses between 10 mm and 400 mm.</t>
  </si>
  <si>
    <t>MWOOL</t>
  </si>
  <si>
    <t>S-P-07206 Insulation board with a core of rigid polyurethane (PIR) for buildings</t>
  </si>
  <si>
    <t>POLYU1</t>
  </si>
  <si>
    <t>6 cm/m2: thermal resistance (m2k/w): 2.33 Thermal Resistance (m2K/W)
grammage (kg/m^2): 2.46 grammage (kg/m^2)</t>
  </si>
  <si>
    <t>POLYU2</t>
  </si>
  <si>
    <t>Polyurethane thermal insulation spray foam (blowing agent HFO; density 40 kg/m3)</t>
  </si>
  <si>
    <t>Polyurethane thermal insulation spray foam</t>
  </si>
  <si>
    <t>EPS</t>
  </si>
  <si>
    <t>EUROTHERM EPS INSULATION (white); 0,035-0,039 W/mK</t>
  </si>
  <si>
    <t>Expanded polystyrene foam EPS, wall insulation, External Thermal Insulation Composite System (ETICS), pitched roof insulation and ceiling insulation. Gross density: 16.0 kg/m^3</t>
  </si>
  <si>
    <t>One m² of installed in-situ insulation, thickness 300mm with an R-value of 9.09 m²K/W, at a density of 37 kg/m³. Reference service life of 50 years</t>
  </si>
  <si>
    <t>CELL</t>
  </si>
  <si>
    <t>Cellulose Fibre Insulation - Thermal insulation for use in pitched roofs, walls and floor spaces in dwellings.</t>
  </si>
  <si>
    <t>EPD Ireland (lca-data.com)</t>
  </si>
  <si>
    <t>S-P-02315 Cork-based thermal insulation panels: Slim and Lisoflex</t>
  </si>
  <si>
    <t>CORK</t>
  </si>
  <si>
    <t>Cork-based thermal insulation panels: grammage (kg/m^2): 3.3 grammage (kg/m^2); layer thickness (m): 0.02 layer thickness (m); thermal resistance (m2k/w): 0.465 Thermal Resistance (m2K/W).</t>
  </si>
  <si>
    <t>Mortar bed / Wet screed</t>
  </si>
  <si>
    <t>This product is a flexible material made mostly of polyethylene. It is soft and resilient and gives the impression of being a soundproofing and cushioning material. Foamed polyethylene packaging protects against scratches damage during transport moisture, including sea moisture. Foam also has insulating properties, which means that it protects against heat loss. Polyethylene foam products in the form of rolls, sheets and bags. Dens=935 kg/m3</t>
  </si>
  <si>
    <t>Cleavage membrane / Sound insuolation layer</t>
  </si>
  <si>
    <t>Partition walls</t>
  </si>
  <si>
    <t>Finishing coat (plastering mortars)</t>
  </si>
  <si>
    <t>Mineral pre-made mortar: rendering and plastering mortar – normal/finishing render or plaster with special properties</t>
  </si>
  <si>
    <t>PLASM</t>
  </si>
  <si>
    <t>Gypsum plasterboard</t>
  </si>
  <si>
    <t>Gypsum cardboard or fiberboard</t>
  </si>
  <si>
    <t>STANDARD GYPSUM PLASTERBOARD STD 12,5 mm</t>
  </si>
  <si>
    <t>grammage (kg/m^2): 8.6 grammage (kg/m^2)
thermal conductivity (w/m.k): 0.21 Thermal Conductivity (W/m.K)
thermal resistance (m2k/w): 0.06 Thermal Resistance (m2K/W)
layer thickness (m): 0.0125 layer thickness (m)</t>
  </si>
  <si>
    <t>Partition walls, facades</t>
  </si>
  <si>
    <t>https://data.environdec.com/datasetdetail/process.xhtml?uuid=e3da16ef-8f06-46cf-a2b5-08dbc3ea2324&amp;version=07.01.002&amp;lang=en</t>
  </si>
  <si>
    <t>GYP_F</t>
  </si>
  <si>
    <t>GYP_P</t>
  </si>
  <si>
    <t>3.B.2-Internal partition Type II: Gypsum cardboard walls</t>
  </si>
  <si>
    <t>conversion factor to 1kg: 16.66 -
gross density: 1175.0 kg/m^3
layer thickness: 0.0125 m
grammage: 16.66 kg/m^2</t>
  </si>
  <si>
    <t>Gypsum fibreboards 12,5 mm</t>
  </si>
  <si>
    <t>Cold-rolled steel profiles for framing and partition systems</t>
  </si>
  <si>
    <t>The raw material is hot dipped sheet rolled galvanised steel, grade DX51D+Z steel for forming. The steel profile sections are manufactured in accordance with EN 14195:2014 Metal framing components for gypsum board systems.</t>
  </si>
  <si>
    <t>ST-G</t>
  </si>
  <si>
    <t>ST</t>
  </si>
  <si>
    <t>ST-GC</t>
  </si>
  <si>
    <t>Quant. Studied in EPD</t>
  </si>
  <si>
    <t>Gulam Timber / Timber battens</t>
  </si>
  <si>
    <t>Welded and Pickled Stainless Steel Products</t>
  </si>
  <si>
    <t>ST-SL</t>
  </si>
  <si>
    <t>Products from Øglænd System AS that are made from stainless steel, and then machined, welded and pickled. Stainless steel forms a protective chromium oxide layer when the alloy is exposed to air, hindering direct contact between the alloy and the corrosive environment.</t>
  </si>
  <si>
    <t>soda4LCA (lca-data.com)</t>
  </si>
  <si>
    <t>This EPD describes an average of the doors produced by the member companies of the VHI. In addition to standard doors, the member companies of the VHI also produce so-called functional doors. These offer additional functions such as moisture, smoke, fire, sound, burglary and radiation protection. For these purposes, the doors are given a modified design.</t>
  </si>
  <si>
    <t>Wooden interior doors</t>
  </si>
  <si>
    <t>Interior doors</t>
  </si>
  <si>
    <t>3.B.7-Interior doors</t>
  </si>
  <si>
    <t>Finishing coat (plastering mortars) / Esternal finishing /Interior finishing</t>
  </si>
  <si>
    <t>WCLA</t>
  </si>
  <si>
    <t>Wood Plastic Composite products: Cladding: WEO 35</t>
  </si>
  <si>
    <t>FIBERDECK wood plastic composite combines the proven strength of high-density, recycled polyethylene plastic and realistic wood fibers with an outer shell of polymer that completely encapsulates the board in an impermeable layer of protection from weather, sun, water, scuffs and
scrapes</t>
  </si>
  <si>
    <t>Facades</t>
  </si>
  <si>
    <t>Stichting MRPI</t>
  </si>
  <si>
    <t>Slabs for façade claddings and for interior claddings and flooring in natural semi-rijo limestone:</t>
  </si>
  <si>
    <t>https://ecosmdp.eco-platform.org/datasetdetail/process.xhtml?uuid=840936cd-d813-46de-91e8-dea3603df2e5&amp;version=00.00.017&amp;lang=en</t>
  </si>
  <si>
    <t>Slabs for façade claddings and for interior claddings and flooring in natural semi-rijo limestone. Dens: 2750 kg/m3</t>
  </si>
  <si>
    <t>EXTRUDED PORCELAIN VENTILATED FAÇADE GA16 &amp; GA20</t>
  </si>
  <si>
    <t>EXTRUDED PORCELAIN VENTILATED FAÇADE GA16 &amp; GA20.  324 kg/m2</t>
  </si>
  <si>
    <t>PORCE</t>
  </si>
  <si>
    <t xml:space="preserve">The engineering stone facade panels are made of a high-quality material comprising a selected combination of aggregates, bound by stable polyester resins.The panels are used for facade cladding and are mounted as a component of ventilated facades (rainscreen claddings). </t>
  </si>
  <si>
    <t>S-P-07728 STONEO Ventilated Facade Panels</t>
  </si>
  <si>
    <t>https://data.environdec.com/datasetdetail/process.xhtml?uuid=c1d307e7-d914-4224-814f-08dad14736bf&amp;version=07.00.015&amp;lang=en</t>
  </si>
  <si>
    <t>nr.</t>
  </si>
  <si>
    <t>N-STON</t>
  </si>
  <si>
    <t>A-STON</t>
  </si>
  <si>
    <t>https://itb.lca-data.com/datasetdetail/process.xhtml?uuid=d7d40c5c-92ab-4967-aa4c-943c611a6d0c&amp;version=00.03.000&amp;lang=en</t>
  </si>
  <si>
    <t>Passiv PVC Double Glazed Window</t>
  </si>
  <si>
    <t>WIN_PVC</t>
  </si>
  <si>
    <t>The Passiv PVC windows cover a range of different sizes and shapes of windows. The LCA has been executed based on a Double-glazed 1230 mm x 1480 mm window, with a thermal performance of U window = 1.2 W/m2K, U glass = 1.2 W/m2K and a life expectancy of 50 years. After which the results have been scaled back to a functional unit of 1m2.</t>
  </si>
  <si>
    <t>https://epdireland.lca-data.com/datasetdetail/process.xhtml?uuid=265b9524-973d-4e57-98e7-df81d8db1a92&amp;version=00.03.001&amp;lang=en</t>
  </si>
  <si>
    <t>WIN_WOOD</t>
  </si>
  <si>
    <t>WIN_AL</t>
  </si>
  <si>
    <t>The raw materials for the Hardwood windows comprise glass, argon, hardwood/softwood profiles, warm edge spacer and associated hardware (hinges, handles, recievers and gears).</t>
  </si>
  <si>
    <t>Hardwood double glazed window</t>
  </si>
  <si>
    <t>The aluminium windows are assembled with extruded aluminium profiles and comes in different frame widths of 45 mm - 50 mm and 70 mm - 75 mm. They consist of an aluminium profile frame and an aluminium profile sash with an insulating glass unit (IGU). The aluminium profiles are powder coated and thermally broken with a reinforced polyamide strip.</t>
  </si>
  <si>
    <t>Aluminium Windows</t>
  </si>
  <si>
    <t>https://data.environdec.com/datasetdetail/process.xhtml?uuid=27d29e96-6544-44d6-90e4-755384184bf6&amp;version=05.00.002&amp;lang=en</t>
  </si>
  <si>
    <t>Wooden full doors</t>
  </si>
  <si>
    <t xml:space="preserve">Exterior doors manufactured by Porta KMI Poland Sp. z o. o. Sp. k. are dedicated for communication in domestic as well as commercial premises. Among company's products, wooden and steel doorsare distinguish. Depending on the customer's needs, doors possess various functionalities and can be produced from a wide range of materials. </t>
  </si>
  <si>
    <t>DOOR_W</t>
  </si>
  <si>
    <t>Exterior front doors</t>
  </si>
  <si>
    <t>Instytut Techniki Budowlanej (lca-data.com)</t>
  </si>
  <si>
    <t>Exterior facade folding doors with thermally modified beech and double glazing, painted</t>
  </si>
  <si>
    <t>DOOR_GL</t>
  </si>
  <si>
    <t>Exterior glazed doors</t>
  </si>
  <si>
    <t>Folding door in the facade of buildings, for renovation and in new buildings</t>
  </si>
  <si>
    <t>https://ecosmdp.eco-platform.org/datasetdetail/process.xhtml?uuid=87041e11-de52-421c-86fc-6996c01d18bc&amp;version=00.01.001&amp;lang=en</t>
  </si>
  <si>
    <t>Ceramic tiles or</t>
  </si>
  <si>
    <t>S-P-05225 Aggregates from Nyrand gravel pit-Svebølle</t>
  </si>
  <si>
    <t>GRAV</t>
  </si>
  <si>
    <t>Flooting, roof</t>
  </si>
  <si>
    <t>PTM reinforced bitumen membrane for roof waterproofing</t>
  </si>
  <si>
    <t>WP</t>
  </si>
  <si>
    <t>System of PTM reinforced bitumen membrane for roof
waterproofing: ·PTM BituFlex (top layer) &amp; PTM DuraFlex Kombi (bottom layer) .</t>
  </si>
  <si>
    <t>Ceramic blocks / brick wall /ceramic deck</t>
  </si>
  <si>
    <t>Walls / Lightweight concrete slabs / Inclinated roof</t>
  </si>
  <si>
    <t>Structure / Pattitions /roof stucture</t>
  </si>
  <si>
    <t>REB</t>
  </si>
  <si>
    <t>Kg Rebar/m3 Con</t>
  </si>
  <si>
    <t>Par. Value</t>
  </si>
  <si>
    <t>1.B.1.3</t>
  </si>
  <si>
    <t>Blinding concrete</t>
  </si>
  <si>
    <t>Under foundation</t>
  </si>
  <si>
    <t>CON0</t>
  </si>
  <si>
    <t>C16/20 ECOPact Prime concrete produced in the plant of Greenwich of Aggregate Industries for use as ready-mixed concrete of normal building construction and civil engineering.</t>
  </si>
  <si>
    <t>Concrete C16/20</t>
  </si>
  <si>
    <t>Footing area (m2)</t>
  </si>
  <si>
    <t>Q=e*Par1</t>
  </si>
  <si>
    <t>1.B.2.3</t>
  </si>
  <si>
    <t>1.B.3.3</t>
  </si>
  <si>
    <t>1.B.4.3</t>
  </si>
  <si>
    <t>pile cap area (m2)</t>
  </si>
  <si>
    <t>Beam area (m2)</t>
  </si>
  <si>
    <t>Slab area (m2)</t>
  </si>
  <si>
    <t>2.A.3-Mass concrete slabs or</t>
  </si>
  <si>
    <t>2.A.4-Composite slabs or</t>
  </si>
  <si>
    <t>2.A.5-Lightweight concrete slabs or</t>
  </si>
  <si>
    <t>Q=nr*e*Par1</t>
  </si>
  <si>
    <t>Q=Par1*Qcon</t>
  </si>
  <si>
    <t>Q=Par1*Q Con</t>
  </si>
  <si>
    <t>beam volume (m3)</t>
  </si>
  <si>
    <t>Q=nr*Par1</t>
  </si>
  <si>
    <t>column vol (m3)</t>
  </si>
  <si>
    <t xml:space="preserve">d (kg/m3) </t>
  </si>
  <si>
    <t>Parameter 1</t>
  </si>
  <si>
    <t>Par. name (unit)</t>
  </si>
  <si>
    <t>Material</t>
  </si>
  <si>
    <t>Quantities (Q)</t>
  </si>
  <si>
    <t xml:space="preserve"> Unit</t>
  </si>
  <si>
    <t>Parameter 2</t>
  </si>
  <si>
    <t xml:space="preserve"> m3 block/m2 slab</t>
  </si>
  <si>
    <t>Q=nr*e*Par1*Par2</t>
  </si>
  <si>
    <t>Q=nr*e*Par1*Par2*d</t>
  </si>
  <si>
    <t>m2 plates/m2 slab</t>
  </si>
  <si>
    <t>m2 beam cross sec</t>
  </si>
  <si>
    <t>Q=nr*(Par1/0.8)*Par2*d</t>
  </si>
  <si>
    <t>Q=nr*Par1*e</t>
  </si>
  <si>
    <t>foor area (m2)</t>
  </si>
  <si>
    <t>Steel in connections (galvanized)</t>
  </si>
  <si>
    <t>kg Steel/m3 CLT</t>
  </si>
  <si>
    <t>Q=nr*Par1*Q CLT</t>
  </si>
  <si>
    <t>Q=nr*Par1*e*d</t>
  </si>
  <si>
    <t>Floor area (m2)</t>
  </si>
  <si>
    <t>3.A.2-Flooring Type I:             Ceramic flooring or</t>
  </si>
  <si>
    <t>3.A.3-Flooring Type II: Wood floating floor or</t>
  </si>
  <si>
    <t>kg/m2</t>
  </si>
  <si>
    <t>Q=nr*Par1*Par2</t>
  </si>
  <si>
    <t>thickness</t>
  </si>
  <si>
    <t>density</t>
  </si>
  <si>
    <t>e (m)</t>
  </si>
  <si>
    <t>1/0</t>
  </si>
  <si>
    <t>5.A-Roof Type I: Flat roof or</t>
  </si>
  <si>
    <t>5.B-Roof type II: Inclinated tiled roof</t>
  </si>
  <si>
    <t>Ground floor:</t>
  </si>
  <si>
    <t>Indoor</t>
  </si>
  <si>
    <t>outdoor</t>
  </si>
  <si>
    <t>total</t>
  </si>
  <si>
    <t>Residential</t>
  </si>
  <si>
    <t>Volume of piles (m3):</t>
  </si>
  <si>
    <t>Volumen of pile caps (m3):</t>
  </si>
  <si>
    <t>Footing  volume  (m3):</t>
  </si>
  <si>
    <t>Volume of Foundation beams (m3):</t>
  </si>
  <si>
    <t>Footing plant area (m2):</t>
  </si>
  <si>
    <t>Foundation beam plant area (m2):</t>
  </si>
  <si>
    <t>Pile cap plant area (m2):</t>
  </si>
  <si>
    <t>Column volume (m3):</t>
  </si>
  <si>
    <t>beam volume (m3):</t>
  </si>
  <si>
    <t>Partition area (m2):</t>
  </si>
  <si>
    <t>Facade area (m2):</t>
  </si>
  <si>
    <t>Exterior party wall (m2):</t>
  </si>
  <si>
    <t>Interior door surface (m2):</t>
  </si>
  <si>
    <t>Windows surface (m2):</t>
  </si>
  <si>
    <t>Flat roof area (m2):</t>
  </si>
  <si>
    <t>roof inclination angle (deg):</t>
  </si>
  <si>
    <t>footing vol (m3)</t>
  </si>
  <si>
    <t>vol (m3)</t>
  </si>
  <si>
    <t>beam vol (m3)</t>
  </si>
  <si>
    <t xml:space="preserve"> slab vol (m3)</t>
  </si>
  <si>
    <t>wall vol (m3)</t>
  </si>
  <si>
    <t>Foundation slab volume (m3):</t>
  </si>
  <si>
    <t>Foundation slab plant area (m2):</t>
  </si>
  <si>
    <t>Retaining wall volume (m3):</t>
  </si>
  <si>
    <t>Main door surface (m2):</t>
  </si>
  <si>
    <t>Cement mortars (1600 kg/m3)</t>
  </si>
  <si>
    <t>Q=nr*e*Par1*d</t>
  </si>
  <si>
    <t>m3 timb/m2 floor</t>
  </si>
  <si>
    <t>Note 3: Choose of the following list of insulation materials</t>
  </si>
  <si>
    <t>MOR</t>
  </si>
  <si>
    <t>m4</t>
  </si>
  <si>
    <t>Wall area (m2)</t>
  </si>
  <si>
    <t>Rendering and plastering mortars produced in the factory for use as a base coat or finishing render/plaster on walls, ceilings, piers, and separating walls of structures which comply with the applicable standards or on similar backgrounds. 1600 kg/m3</t>
  </si>
  <si>
    <t xml:space="preserve">kg ST /m2 wall </t>
  </si>
  <si>
    <t>m3 timb/m2 wall</t>
  </si>
  <si>
    <t>number or boards</t>
  </si>
  <si>
    <t>parapets (m2):</t>
  </si>
  <si>
    <t>Railing (m):</t>
  </si>
  <si>
    <t>long (m)</t>
  </si>
  <si>
    <t>kg ST/m railing</t>
  </si>
  <si>
    <t>WDOOR</t>
  </si>
  <si>
    <t>door (m2)</t>
  </si>
  <si>
    <t>Stairs (m2):</t>
  </si>
  <si>
    <t>kg ST/m2 Stairs</t>
  </si>
  <si>
    <t>m3 mor/m2 stairs</t>
  </si>
  <si>
    <t>m2 title/m2 stairs</t>
  </si>
  <si>
    <t>stairs area (m2)</t>
  </si>
  <si>
    <t>kg/m2 title</t>
  </si>
  <si>
    <t>Q=nr*Par1*m2 title</t>
  </si>
  <si>
    <t>Q=nr*Par1*Par2*d</t>
  </si>
  <si>
    <t>3.C.1.7</t>
  </si>
  <si>
    <t>3.C.1.8</t>
  </si>
  <si>
    <t>Q=nr*Par1*Qcon</t>
  </si>
  <si>
    <t>Exterior glazed door surface (m2):</t>
  </si>
  <si>
    <t>ramp area (m2)</t>
  </si>
  <si>
    <t>Ramps (m2):</t>
  </si>
  <si>
    <t>Surface (m2)</t>
  </si>
  <si>
    <t>Q=nr*Par2</t>
  </si>
  <si>
    <t>Q=nr*Par3</t>
  </si>
  <si>
    <t>roof area (m2)</t>
  </si>
  <si>
    <t>roof tiles area (m2)</t>
  </si>
  <si>
    <t>Note 5: Choose of the following list of WINDOWS</t>
  </si>
  <si>
    <t>Note 4: Choose of the following list of tiles for external cladding</t>
  </si>
  <si>
    <t>d (kg/m3)</t>
  </si>
  <si>
    <t xml:space="preserve">kg/m2 </t>
  </si>
  <si>
    <t>Parameter 3</t>
  </si>
  <si>
    <t>angle (deg)</t>
  </si>
  <si>
    <t>Q=nr*Par1*Par2/cos(Par3)</t>
  </si>
  <si>
    <t>Q=nr*e*Par1*d/cos(Par3)</t>
  </si>
  <si>
    <t>Q=nr*Par1/cos(Par3)</t>
  </si>
  <si>
    <t>wall separation (m)</t>
  </si>
  <si>
    <t>Q=nr*e*(Par1^0.5/Par2)*(tg(Par3)*0.25*Par1)*d</t>
  </si>
  <si>
    <t>Q=nr*e*0.05*(((Par1^0.5)/cos(Par3))+(Par1^0.5))+(Par1/Par2)*0.25*tan(Par3))*(Par1^0.5)/Par2</t>
  </si>
  <si>
    <r>
      <t>The material list with the Mat Codes is descibed in the</t>
    </r>
    <r>
      <rPr>
        <i/>
        <sz val="11"/>
        <color theme="1"/>
        <rFont val="Calibri"/>
        <family val="2"/>
        <scheme val="minor"/>
      </rPr>
      <t xml:space="preserve"> material impact data</t>
    </r>
    <r>
      <rPr>
        <sz val="11"/>
        <color theme="1"/>
        <rFont val="Calibri"/>
        <family val="2"/>
        <scheme val="minor"/>
      </rPr>
      <t xml:space="preserve"> tab</t>
    </r>
  </si>
  <si>
    <t>Excel Legend</t>
  </si>
  <si>
    <t>User input (or parameter readed from IFC file)</t>
  </si>
  <si>
    <t>Parameter calculated by app and not editable</t>
  </si>
  <si>
    <t>Parameter loaded by default by app and editable by user</t>
  </si>
  <si>
    <r>
      <rPr>
        <b/>
        <sz val="11"/>
        <color theme="1"/>
        <rFont val="Calibri"/>
        <family val="2"/>
        <scheme val="minor"/>
      </rPr>
      <t xml:space="preserve">kg </t>
    </r>
    <r>
      <rPr>
        <sz val="11"/>
        <color theme="1"/>
        <rFont val="Calibri"/>
        <family val="2"/>
        <scheme val="minor"/>
      </rPr>
      <t>Quantity calculated by the program based on the user inputs and parameters of each material. Not user-editable</t>
    </r>
  </si>
  <si>
    <t>Energy Consumption (A1-A3) (/m2/yr)</t>
  </si>
  <si>
    <t>PERT</t>
  </si>
  <si>
    <t>(MJ)</t>
  </si>
  <si>
    <t>(kg CO2-eq.)</t>
  </si>
  <si>
    <t>ADPF</t>
  </si>
  <si>
    <t>ADPE</t>
  </si>
  <si>
    <t xml:space="preserve">(kg Sb-eq) </t>
  </si>
  <si>
    <t>AP</t>
  </si>
  <si>
    <t>(kg SO2-eq.)</t>
  </si>
  <si>
    <t xml:space="preserve">	EP</t>
  </si>
  <si>
    <t>(kg Phosphat-eq.)</t>
  </si>
  <si>
    <t>POCP</t>
  </si>
  <si>
    <t>(kg Ethen-eq)</t>
  </si>
  <si>
    <t>3.B.3.5</t>
  </si>
  <si>
    <t>A type of material or construction element from which one material can be chosen from several alternatives. See note 3, 4 and 5.</t>
  </si>
  <si>
    <t>2.A.1.5</t>
  </si>
  <si>
    <t>kg Steel/m3 timber</t>
  </si>
  <si>
    <t>2.A.2.5</t>
  </si>
  <si>
    <t>due to connections</t>
  </si>
  <si>
    <t>Q=nr*Par1*d*Par2</t>
  </si>
  <si>
    <t>Steel in timber connec. (galvanized)</t>
  </si>
  <si>
    <t>Steel in timber connect. (galvanized)</t>
  </si>
  <si>
    <t>Steel in timber connect (galvanized)</t>
  </si>
  <si>
    <t>4.A.2.6</t>
  </si>
  <si>
    <t>2.A.6.3</t>
  </si>
  <si>
    <t>1-Total Fundations</t>
  </si>
  <si>
    <t>2- Total structural elements</t>
  </si>
  <si>
    <t>3-Total non-load bearing elements</t>
  </si>
  <si>
    <t>4- Total facades</t>
  </si>
  <si>
    <t>5-Total Roofs</t>
  </si>
  <si>
    <t>ODP</t>
  </si>
  <si>
    <t>(MJ/m2/yr)</t>
  </si>
  <si>
    <t>(kq CFC 11-eq)</t>
  </si>
  <si>
    <t>(kg CO2-eq./m2/yr)</t>
  </si>
  <si>
    <t xml:space="preserve">(kg Sb-eq./m2/yr) </t>
  </si>
  <si>
    <t>(kg SO2-eq./m2/yr)</t>
  </si>
  <si>
    <t>(kg Phosphat-eq./m2/yr)</t>
  </si>
  <si>
    <t>(kg Ethen-eq./m2/yr)</t>
  </si>
  <si>
    <t>(kq CFC 11-eq./m2/yr)</t>
  </si>
  <si>
    <t>Cost</t>
  </si>
  <si>
    <t>Nota 6:</t>
  </si>
  <si>
    <t>To obtain the impact results, the quantities of each type of material are multiplied by the unit impacts of the chosen material (Mat code). This unit impacts are obtained by dividing the quantities of the impacts indicated in the Material impact data tab by the quantity of material indicated in the column "Quant. Studied in EPD" from the Material Inpact data tab.</t>
  </si>
  <si>
    <t>2.A.2-Columns (Timber, steel or concrete</t>
  </si>
  <si>
    <t>2.A.1-Beams (Timber, steel or concrete)</t>
  </si>
  <si>
    <t>PENRT (MJ)</t>
  </si>
  <si>
    <t>2.B-Concrete stiffening walls/steel in stiffening elements</t>
  </si>
  <si>
    <t>concrete vol (m3)</t>
  </si>
  <si>
    <t>steel volume (m3)</t>
  </si>
  <si>
    <t>Concrete volume in stiffening walls (m3):</t>
  </si>
  <si>
    <t>Steel volume in stiffening elements (m3):</t>
  </si>
  <si>
    <t>AP (kg SO2-eq)</t>
  </si>
  <si>
    <t>PENRT</t>
  </si>
  <si>
    <t>Enviromental Impacts A4</t>
  </si>
  <si>
    <t>Enviromental impacts A5</t>
  </si>
  <si>
    <t xml:space="preserve">IMPACTS A1-A3 </t>
  </si>
  <si>
    <t>IMPACTS A4</t>
  </si>
  <si>
    <t>IMPACTS A5</t>
  </si>
  <si>
    <t>Table Caption and Summary</t>
  </si>
  <si>
    <t>1,81-E8</t>
  </si>
  <si>
    <t>Energy Consumption (A4)</t>
  </si>
  <si>
    <t>Energy Consumption (A5)</t>
  </si>
  <si>
    <t>Enviromental Impacts</t>
  </si>
  <si>
    <t>Energy Consumption (A4) (/m2/yr)</t>
  </si>
  <si>
    <t>Energy Consumption (A5) (/m2/yr)</t>
  </si>
  <si>
    <t>IMPACTS PER UNIT AREA AND YEAR</t>
  </si>
  <si>
    <t>PRODUCTION</t>
  </si>
  <si>
    <t>TRANSPORT</t>
  </si>
  <si>
    <t>INSTALLATION</t>
  </si>
  <si>
    <t>UNIT IMPACTS * QUANTITIES</t>
  </si>
  <si>
    <t>Spain</t>
  </si>
  <si>
    <t>City</t>
  </si>
  <si>
    <t>Cartagena</t>
  </si>
  <si>
    <t>year</t>
  </si>
  <si>
    <t>IndoorFloor area</t>
  </si>
  <si>
    <t>(kg CO2-eq)</t>
  </si>
  <si>
    <t>Area of slabs (including beams) (m2):</t>
  </si>
  <si>
    <t>Tipo de Impacto</t>
  </si>
  <si>
    <t>A4</t>
  </si>
  <si>
    <t>A5</t>
  </si>
  <si>
    <t>FOUNDATIONS</t>
  </si>
  <si>
    <t>STRUCTURAL ELEMENTS</t>
  </si>
  <si>
    <t>NON-LOAD BEARING ELEMENTS</t>
  </si>
  <si>
    <t>FECADES</t>
  </si>
  <si>
    <t>ROOFS</t>
  </si>
  <si>
    <t>Timber</t>
  </si>
  <si>
    <t>Steel and bricks</t>
  </si>
  <si>
    <t>Concrete and bricks</t>
  </si>
  <si>
    <t>Foundations</t>
  </si>
  <si>
    <t>Structural Elements</t>
  </si>
  <si>
    <t>Non-Load Bearing Elements</t>
  </si>
  <si>
    <t>Fecades</t>
  </si>
  <si>
    <t>Roofs</t>
  </si>
  <si>
    <t>PRECIOS (EUR)</t>
  </si>
  <si>
    <t>EP</t>
  </si>
  <si>
    <t>COMPARACIÓN POR TIPO DE VIVIENDA</t>
  </si>
  <si>
    <t>Steel and Bricks</t>
  </si>
  <si>
    <t>TOTAL</t>
  </si>
  <si>
    <t>LCA Excel tool for BIM-LCA project website</t>
  </si>
  <si>
    <t>This is a LCA tool to be used for developing an web application in the BIM-LCA website</t>
  </si>
  <si>
    <t>Floor Areas (m2)</t>
  </si>
  <si>
    <t>Intermediate floors:</t>
  </si>
  <si>
    <t>roof type 1:</t>
  </si>
  <si>
    <t>roof tape 2:</t>
  </si>
  <si>
    <t>1- Data of the building</t>
  </si>
  <si>
    <t xml:space="preserve"> (1) Piles and pile caps</t>
  </si>
  <si>
    <t xml:space="preserve"> (2) Footings</t>
  </si>
  <si>
    <t xml:space="preserve"> (3) Foundation slab</t>
  </si>
  <si>
    <t xml:space="preserve">    a) Type of Foundation:</t>
  </si>
  <si>
    <t xml:space="preserve">   b)  Material in Beams and Columns</t>
  </si>
  <si>
    <t>(1) Reinf. Concrete</t>
  </si>
  <si>
    <t>(2) Steel</t>
  </si>
  <si>
    <t>(3) Timber</t>
  </si>
  <si>
    <t>2- Choice the type of structural, construction systems &amp; materials</t>
  </si>
  <si>
    <t>2- Areas and volumes in elements of the building - User inputs</t>
  </si>
  <si>
    <t xml:space="preserve">   c)  Type of structural slabs</t>
  </si>
  <si>
    <t>(2) Composite slab</t>
  </si>
  <si>
    <t>slabs</t>
  </si>
  <si>
    <t xml:space="preserve">(1)-Mass concrete </t>
  </si>
  <si>
    <t>concrete slabs</t>
  </si>
  <si>
    <t>(3) Lightweight</t>
  </si>
  <si>
    <t>(4) Timber slabs</t>
  </si>
  <si>
    <t xml:space="preserve">         </t>
  </si>
  <si>
    <t xml:space="preserve">         Type of bocks:</t>
  </si>
  <si>
    <t>(1) Concrete blocks</t>
  </si>
  <si>
    <t>(2) Ceramic blocks</t>
  </si>
  <si>
    <t xml:space="preserve">   (enter 1, 2, 3 or 4)</t>
  </si>
  <si>
    <t xml:space="preserve">   (enter 1, 2 or 3)</t>
  </si>
  <si>
    <r>
      <t xml:space="preserve">   c-1) If the perviuos answer was </t>
    </r>
    <r>
      <rPr>
        <b/>
        <i/>
        <sz val="11"/>
        <color theme="1"/>
        <rFont val="Calibri"/>
        <family val="2"/>
        <scheme val="minor"/>
      </rPr>
      <t>(3) Lightweight concrete slabs</t>
    </r>
    <r>
      <rPr>
        <b/>
        <sz val="11"/>
        <color theme="1"/>
        <rFont val="Calibri"/>
        <family val="2"/>
        <scheme val="minor"/>
      </rPr>
      <t>, pease chose:</t>
    </r>
  </si>
  <si>
    <t xml:space="preserve">         Type of structure stiffening system:</t>
  </si>
  <si>
    <t xml:space="preserve">(2) Steel stiffening </t>
  </si>
  <si>
    <t>elements</t>
  </si>
  <si>
    <t xml:space="preserve">   d) If it exists in the building, choose one of these stiffening systems:</t>
  </si>
  <si>
    <t>(1) Ceramic flooring</t>
  </si>
  <si>
    <t>(2) Wood floating</t>
  </si>
  <si>
    <t>floor</t>
  </si>
  <si>
    <t>(3) Screed flooring</t>
  </si>
  <si>
    <t xml:space="preserve">   e)  Type of flooring (non-structural)</t>
  </si>
  <si>
    <t xml:space="preserve">   f)  Type of internal partitions</t>
  </si>
  <si>
    <t>(1) Brick walls</t>
  </si>
  <si>
    <t xml:space="preserve">(2) Gypsum </t>
  </si>
  <si>
    <t>cardboard walls</t>
  </si>
  <si>
    <t xml:space="preserve">(3) Structural </t>
  </si>
  <si>
    <t>Timber wall</t>
  </si>
  <si>
    <t xml:space="preserve">   g)  Type of stairs </t>
  </si>
  <si>
    <t>(1) Concrete</t>
  </si>
  <si>
    <t xml:space="preserve">   h)  Type of facades</t>
  </si>
  <si>
    <t>(2) Timber</t>
  </si>
  <si>
    <t>(3) Ventilated facade</t>
  </si>
  <si>
    <t>(1) Double bricks wall</t>
  </si>
  <si>
    <t>(0) Without</t>
  </si>
  <si>
    <t xml:space="preserve"> stiffening system</t>
  </si>
  <si>
    <t xml:space="preserve">(1) Concrete </t>
  </si>
  <si>
    <t xml:space="preserve"> stiffening walls</t>
  </si>
  <si>
    <r>
      <t xml:space="preserve">   h-1) If the perviuos answer was </t>
    </r>
    <r>
      <rPr>
        <b/>
        <i/>
        <sz val="11"/>
        <color theme="1"/>
        <rFont val="Calibri"/>
        <family val="2"/>
        <scheme val="minor"/>
      </rPr>
      <t>(3) Ventilated facade</t>
    </r>
    <r>
      <rPr>
        <b/>
        <sz val="11"/>
        <color theme="1"/>
        <rFont val="Calibri"/>
        <family val="2"/>
        <scheme val="minor"/>
      </rPr>
      <t>, pease chose:</t>
    </r>
  </si>
  <si>
    <t xml:space="preserve">         Type of tiles for external cladding:</t>
  </si>
  <si>
    <t>(1) Natural</t>
  </si>
  <si>
    <t xml:space="preserve"> semi-rijo limestone</t>
  </si>
  <si>
    <t xml:space="preserve">(1) EXTRUDED </t>
  </si>
  <si>
    <t>PORCELAIN</t>
  </si>
  <si>
    <t>(2) Artificial stone</t>
  </si>
  <si>
    <t>Aggregates+polyester resins</t>
  </si>
  <si>
    <t xml:space="preserve">   i)  Type of windows</t>
  </si>
  <si>
    <t>(1) PVC Double</t>
  </si>
  <si>
    <t xml:space="preserve"> Glazed Window</t>
  </si>
  <si>
    <t>(2) Hardwood</t>
  </si>
  <si>
    <t xml:space="preserve"> double glazed window</t>
  </si>
  <si>
    <t>(3) Aluminium Window</t>
  </si>
  <si>
    <t>Inclinated roof area (horizontal projection) (m2):</t>
  </si>
  <si>
    <t>Note: IMPORTANT - If any of the previus element is missing in the project enter 0</t>
  </si>
  <si>
    <t xml:space="preserve">   j)  Type of finishing coat in flat roof</t>
  </si>
  <si>
    <t>(1) Ceramic tiles</t>
  </si>
  <si>
    <t>(2) Gravel ballast</t>
  </si>
  <si>
    <t xml:space="preserve">   k)  Type of inclinated roof</t>
  </si>
  <si>
    <t>(2) With timber structure</t>
  </si>
  <si>
    <t>(1) with brick walls</t>
  </si>
  <si>
    <t xml:space="preserve">   (enter 1 or 2)</t>
  </si>
  <si>
    <t xml:space="preserve">   l)  Structure under inclinated roof</t>
  </si>
  <si>
    <t xml:space="preserve"> Eliminate the structure and insulation of inclinated roofs?:</t>
  </si>
  <si>
    <t>(1) Yes</t>
  </si>
  <si>
    <t>(2) No</t>
  </si>
  <si>
    <t xml:space="preserve"> (enter 1 or 2)</t>
  </si>
  <si>
    <t>Material quantiites</t>
  </si>
  <si>
    <t>Building and material input</t>
  </si>
  <si>
    <t xml:space="preserve">This part is to show how the excel tool calculate the quantities of each on of the building materials used in the project. </t>
  </si>
  <si>
    <t>(This part can be obtained form the BIM-software)</t>
  </si>
  <si>
    <t xml:space="preserve">User describe here general information about the building analysed </t>
  </si>
  <si>
    <t>Material impact data</t>
  </si>
  <si>
    <t>This part is a short data base on envrionmetnal impacts built form different data bases. The sources were carbon footprint data, EPD or self calculations</t>
  </si>
  <si>
    <t>Results</t>
  </si>
  <si>
    <t>This section shows emmisions and impacts of the builiding after the LCA in stages A1 to A5</t>
  </si>
  <si>
    <t>The cost of the building is also shown.</t>
  </si>
  <si>
    <t>Erasmus+ Project 2022-1-NO01-KA220-HED-000087893</t>
  </si>
  <si>
    <t>This Erasmus+ Project has been funded with support from the European Commission. This publication reflects the views only of the authors, and the European Commission and Erasmus+ National Agencies cannot be held responsible for any use which may be made of the information contained therein</t>
  </si>
  <si>
    <t>BIM-LCA Construction Project</t>
  </si>
  <si>
    <t>Total building (A1-A5)</t>
  </si>
  <si>
    <t>LCA - Enviromental Impact results</t>
  </si>
  <si>
    <t>Env impacts A1-A3</t>
  </si>
  <si>
    <t>Env impacts A4</t>
  </si>
  <si>
    <t>Env impacts A5</t>
  </si>
  <si>
    <t>Env imp A4 (/m2/yr)</t>
  </si>
  <si>
    <t>Env imp A1-A3 (/m2/yr)</t>
  </si>
  <si>
    <t>Env imp A5 (/m2/yr)</t>
  </si>
  <si>
    <t>Description of Materials and Impact Data</t>
  </si>
  <si>
    <t>Building Material Quantities</t>
  </si>
  <si>
    <t>Inputs</t>
  </si>
  <si>
    <t>Project name:</t>
  </si>
  <si>
    <t>Project Name:</t>
  </si>
  <si>
    <t xml:space="preserve"> Single-family house in concrete and bricks</t>
  </si>
  <si>
    <t>(Euros)</t>
  </si>
  <si>
    <t>Graphical Results</t>
  </si>
  <si>
    <t>Mineral wool insulation</t>
  </si>
  <si>
    <t>Insulation board with a core of rigid polyurethane</t>
  </si>
  <si>
    <t>Cellulose Fibre Insulation</t>
  </si>
  <si>
    <t>Cork-based thermal insulation panels</t>
  </si>
  <si>
    <t>Expanded Polystyrene for insulation</t>
  </si>
  <si>
    <t xml:space="preserve">   m) Material in the insulation layers of the facades and roofs</t>
  </si>
  <si>
    <t xml:space="preserve"> (enter 1,2,...or 6)</t>
  </si>
  <si>
    <t>User has to introduce here the data about areas and volumes of the elements of the structure and construction systems of the building</t>
  </si>
  <si>
    <t>Chose of type of material and type of construction product is carried out in this secction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</si>
</sst>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
  </numFmts>
  <fonts count="39" x14ac:knownFonts="1">
    <font>
      <sz val="11"/>
      <color theme="1"/>
      <name val="Calibri"/>
      <family val="2"/>
      <scheme val="minor"/>
    </font>
    <font>
      <b/>
      <sz val="11"/>
      <color theme="1"/>
      <name val="Calibri"/>
      <family val="2"/>
      <scheme val="minor"/>
    </font>
    <font>
      <i/>
      <sz val="11"/>
      <color theme="1"/>
      <name val="Calibri"/>
      <family val="2"/>
      <scheme val="minor"/>
    </font>
    <font>
      <b/>
      <sz val="20"/>
      <color theme="1"/>
      <name val="Calibri"/>
      <family val="2"/>
      <scheme val="minor"/>
    </font>
    <font>
      <sz val="8"/>
      <name val="Calibri"/>
      <family val="2"/>
      <scheme val="minor"/>
    </font>
    <font>
      <u/>
      <sz val="11"/>
      <color theme="10"/>
      <name val="Calibri"/>
      <family val="2"/>
      <scheme val="minor"/>
    </font>
    <font>
      <sz val="14"/>
      <color theme="1"/>
      <name val="Calibri"/>
      <family val="2"/>
      <scheme val="minor"/>
    </font>
    <font>
      <sz val="10"/>
      <color rgb="FF312E25"/>
      <name val="Arial"/>
      <family val="2"/>
    </font>
    <font>
      <sz val="10"/>
      <color rgb="FF474747"/>
      <name val="Arial"/>
      <family val="2"/>
    </font>
    <font>
      <sz val="11"/>
      <color rgb="FF0070C0"/>
      <name val="Calibri"/>
      <family val="2"/>
      <scheme val="minor"/>
    </font>
    <font>
      <sz val="11"/>
      <color rgb="FFC00000"/>
      <name val="Calibri"/>
      <family val="2"/>
      <scheme val="minor"/>
    </font>
    <font>
      <sz val="11"/>
      <name val="Calibri"/>
      <family val="2"/>
      <scheme val="minor"/>
    </font>
    <font>
      <b/>
      <sz val="11"/>
      <name val="Calibri"/>
      <family val="2"/>
      <scheme val="minor"/>
    </font>
    <font>
      <sz val="11"/>
      <color rgb="FF7030A0"/>
      <name val="Calibri"/>
      <family val="2"/>
      <scheme val="minor"/>
    </font>
    <font>
      <b/>
      <sz val="12"/>
      <color theme="1"/>
      <name val="Calibri"/>
      <family val="2"/>
      <scheme val="minor"/>
    </font>
    <font>
      <b/>
      <sz val="9"/>
      <color indexed="81"/>
      <name val="Tahoma"/>
      <family val="2"/>
    </font>
    <font>
      <sz val="9"/>
      <color indexed="81"/>
      <name val="Tahoma"/>
      <family val="2"/>
    </font>
    <font>
      <sz val="11"/>
      <color theme="0"/>
      <name val="Calibri"/>
      <family val="2"/>
      <scheme val="minor"/>
    </font>
    <font>
      <sz val="11"/>
      <color rgb="FF9C0006"/>
      <name val="Calibri"/>
      <family val="2"/>
      <scheme val="minor"/>
    </font>
    <font>
      <sz val="10"/>
      <color theme="1"/>
      <name val="Calibri"/>
      <family val="2"/>
      <scheme val="minor"/>
    </font>
    <font>
      <b/>
      <i/>
      <sz val="11"/>
      <color theme="1"/>
      <name val="Calibri"/>
      <family val="2"/>
      <scheme val="minor"/>
    </font>
    <font>
      <sz val="8"/>
      <color rgb="FF211D1E"/>
      <name val="Calibri"/>
      <family val="2"/>
      <scheme val="minor"/>
    </font>
    <font>
      <b/>
      <sz val="14"/>
      <color theme="1"/>
      <name val="Calibri"/>
      <family val="2"/>
      <scheme val="minor"/>
    </font>
    <font>
      <b/>
      <sz val="18"/>
      <color theme="1"/>
      <name val="Calibri"/>
      <family val="2"/>
      <scheme val="minor"/>
    </font>
    <font>
      <sz val="18"/>
      <color theme="1"/>
      <name val="Calibri"/>
      <family val="2"/>
      <scheme val="minor"/>
    </font>
    <font>
      <sz val="9"/>
      <color theme="1"/>
      <name val="Calibri"/>
      <family val="2"/>
      <scheme val="minor"/>
    </font>
    <font>
      <sz val="9"/>
      <color rgb="FF0070C0"/>
      <name val="Calibri"/>
      <family val="2"/>
      <scheme val="minor"/>
    </font>
    <font>
      <sz val="9"/>
      <color rgb="FF7030A0"/>
      <name val="Calibri"/>
      <family val="2"/>
      <scheme val="minor"/>
    </font>
    <font>
      <sz val="16"/>
      <color theme="1"/>
      <name val="Calibri"/>
      <family val="2"/>
      <scheme val="minor"/>
    </font>
    <font>
      <b/>
      <sz val="16"/>
      <color theme="1"/>
      <name val="Calibri"/>
      <family val="2"/>
      <scheme val="minor"/>
    </font>
    <font>
      <b/>
      <sz val="10"/>
      <color theme="1"/>
      <name val="Calibri"/>
      <family val="2"/>
      <scheme val="minor"/>
    </font>
    <font>
      <b/>
      <sz val="10"/>
      <color rgb="FF0070C0"/>
      <name val="Calibri"/>
      <family val="2"/>
      <scheme val="minor"/>
    </font>
    <font>
      <b/>
      <sz val="15"/>
      <color theme="1"/>
      <name val="Calibri"/>
      <family val="2"/>
      <scheme val="minor"/>
    </font>
    <font>
      <b/>
      <sz val="16"/>
      <color rgb="FF7030A0"/>
      <name val="Calibri"/>
      <family val="2"/>
      <scheme val="minor"/>
    </font>
    <font>
      <b/>
      <sz val="15"/>
      <color rgb="FF7030A0"/>
      <name val="Calibri"/>
      <family val="2"/>
      <scheme val="minor"/>
    </font>
    <font>
      <sz val="20"/>
      <color theme="1"/>
      <name val="Calibri"/>
      <family val="2"/>
      <scheme val="minor"/>
    </font>
    <font>
      <b/>
      <sz val="20"/>
      <color rgb="FF7030A0"/>
      <name val="Calibri"/>
      <family val="2"/>
      <scheme val="minor"/>
    </font>
    <font>
      <b/>
      <sz val="24"/>
      <color theme="1"/>
      <name val="Calibri"/>
      <family val="2"/>
      <scheme val="minor"/>
    </font>
    <font>
      <sz val="14"/>
      <color rgb="FF312E25"/>
      <name val="Arial"/>
      <family val="2"/>
    </font>
  </fonts>
  <fills count="14">
    <fill>
      <patternFill patternType="none"/>
    </fill>
    <fill>
      <patternFill patternType="gray125"/>
    </fill>
    <fill>
      <patternFill patternType="solid">
        <fgColor rgb="FFFFFFFF"/>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C7CE"/>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3">
    <xf numFmtId="0" fontId="0" fillId="0" borderId="0"/>
    <xf numFmtId="0" fontId="5" fillId="0" borderId="0" applyNumberFormat="0" applyFill="0" applyBorder="0" applyAlignment="0" applyProtection="0"/>
    <xf numFmtId="0" fontId="18" fillId="13" borderId="0" applyNumberFormat="0" applyBorder="0" applyAlignment="0" applyProtection="0"/>
  </cellStyleXfs>
  <cellXfs count="412">
    <xf numFmtId="0" fontId="0" fillId="0" borderId="0" xfId="0"/>
    <xf numFmtId="0" fontId="2" fillId="0" borderId="0" xfId="0" applyFont="1"/>
    <xf numFmtId="0" fontId="1" fillId="0" borderId="0" xfId="0" applyFont="1"/>
    <xf numFmtId="0" fontId="3" fillId="0" borderId="0" xfId="0" applyFont="1"/>
    <xf numFmtId="0" fontId="5" fillId="0" borderId="0" xfId="1"/>
    <xf numFmtId="0" fontId="0" fillId="0" borderId="0" xfId="0" applyAlignment="1">
      <alignment wrapText="1"/>
    </xf>
    <xf numFmtId="0" fontId="0" fillId="0" borderId="0" xfId="0" applyAlignment="1">
      <alignment horizontal="left"/>
    </xf>
    <xf numFmtId="0" fontId="0" fillId="0" borderId="1" xfId="0" applyBorder="1"/>
    <xf numFmtId="0" fontId="0" fillId="0" borderId="1" xfId="0" applyBorder="1" applyAlignment="1">
      <alignment horizontal="center" vertical="center" wrapText="1"/>
    </xf>
    <xf numFmtId="0" fontId="0" fillId="0" borderId="1" xfId="0" applyBorder="1" applyAlignment="1">
      <alignment horizontal="center"/>
    </xf>
    <xf numFmtId="0" fontId="0" fillId="0" borderId="7" xfId="0" applyBorder="1"/>
    <xf numFmtId="0" fontId="0" fillId="0" borderId="12" xfId="0" applyBorder="1"/>
    <xf numFmtId="0" fontId="0" fillId="0" borderId="9" xfId="0" applyBorder="1"/>
    <xf numFmtId="0" fontId="0" fillId="0" borderId="0" xfId="0" applyAlignment="1">
      <alignment horizontal="center"/>
    </xf>
    <xf numFmtId="0" fontId="0" fillId="0" borderId="0" xfId="0" applyAlignment="1">
      <alignment horizontal="left" vertical="top" wrapText="1"/>
    </xf>
    <xf numFmtId="0" fontId="0" fillId="0" borderId="1" xfId="0" applyBorder="1" applyAlignment="1">
      <alignment horizontal="center" vertical="center"/>
    </xf>
    <xf numFmtId="0" fontId="0" fillId="0" borderId="13" xfId="0" applyBorder="1" applyAlignment="1">
      <alignment horizontal="center"/>
    </xf>
    <xf numFmtId="0" fontId="0" fillId="0" borderId="1" xfId="0" applyBorder="1" applyAlignment="1">
      <alignment horizontal="left"/>
    </xf>
    <xf numFmtId="0" fontId="0" fillId="0" borderId="6" xfId="0" applyBorder="1"/>
    <xf numFmtId="0" fontId="0" fillId="0" borderId="0" xfId="0" applyAlignment="1">
      <alignment vertical="top" wrapText="1"/>
    </xf>
    <xf numFmtId="0" fontId="6" fillId="0" borderId="0" xfId="0" applyFont="1"/>
    <xf numFmtId="0" fontId="0" fillId="0" borderId="0" xfId="0" applyAlignment="1">
      <alignment horizontal="right"/>
    </xf>
    <xf numFmtId="0" fontId="0" fillId="0" borderId="1" xfId="0" applyBorder="1" applyAlignment="1">
      <alignment horizontal="left" vertical="top"/>
    </xf>
    <xf numFmtId="0" fontId="0" fillId="0" borderId="1" xfId="0" applyBorder="1" applyAlignment="1">
      <alignment horizontal="left" vertical="top" wrapText="1"/>
    </xf>
    <xf numFmtId="0" fontId="5" fillId="0" borderId="1" xfId="1" applyBorder="1" applyAlignment="1">
      <alignment horizontal="left" vertical="top"/>
    </xf>
    <xf numFmtId="0" fontId="0" fillId="0" borderId="0" xfId="0" applyAlignment="1">
      <alignment horizontal="left" vertical="top"/>
    </xf>
    <xf numFmtId="0" fontId="5" fillId="0" borderId="0" xfId="1" applyBorder="1" applyAlignment="1">
      <alignment horizontal="left" vertical="top"/>
    </xf>
    <xf numFmtId="0" fontId="0" fillId="0" borderId="8" xfId="0" applyBorder="1" applyAlignment="1">
      <alignment horizontal="center" vertical="center" wrapText="1"/>
    </xf>
    <xf numFmtId="0" fontId="8" fillId="2" borderId="1" xfId="0" applyFont="1" applyFill="1" applyBorder="1" applyAlignment="1">
      <alignment vertical="top" wrapText="1"/>
    </xf>
    <xf numFmtId="0" fontId="0" fillId="0" borderId="14" xfId="0" applyBorder="1" applyAlignment="1">
      <alignment horizontal="left" vertical="top"/>
    </xf>
    <xf numFmtId="0" fontId="0" fillId="0" borderId="15" xfId="0" applyBorder="1" applyAlignment="1">
      <alignment horizontal="left" vertical="top" wrapText="1"/>
    </xf>
    <xf numFmtId="0" fontId="0" fillId="0" borderId="8" xfId="0" applyBorder="1" applyAlignment="1">
      <alignment horizontal="left" vertical="top" wrapText="1"/>
    </xf>
    <xf numFmtId="0" fontId="8" fillId="2" borderId="14" xfId="0" applyFont="1" applyFill="1" applyBorder="1" applyAlignment="1">
      <alignment vertical="top" wrapText="1"/>
    </xf>
    <xf numFmtId="0" fontId="0" fillId="0" borderId="1" xfId="0" applyBorder="1" applyAlignment="1">
      <alignment wrapText="1"/>
    </xf>
    <xf numFmtId="0" fontId="9" fillId="0" borderId="1" xfId="0" applyFont="1" applyBorder="1"/>
    <xf numFmtId="0" fontId="0" fillId="0" borderId="9" xfId="0" applyBorder="1" applyAlignment="1">
      <alignment horizontal="center"/>
    </xf>
    <xf numFmtId="0" fontId="10" fillId="0" borderId="1" xfId="0" applyFont="1" applyBorder="1"/>
    <xf numFmtId="2" fontId="10" fillId="0" borderId="1" xfId="0" applyNumberFormat="1" applyFont="1" applyBorder="1"/>
    <xf numFmtId="2" fontId="11" fillId="0" borderId="1" xfId="0" applyNumberFormat="1" applyFont="1" applyBorder="1"/>
    <xf numFmtId="164" fontId="10" fillId="0" borderId="1" xfId="0" applyNumberFormat="1" applyFont="1" applyBorder="1"/>
    <xf numFmtId="0" fontId="0" fillId="0" borderId="17" xfId="0" applyBorder="1" applyAlignment="1">
      <alignment horizontal="center"/>
    </xf>
    <xf numFmtId="0" fontId="1" fillId="0" borderId="13" xfId="0" applyFont="1" applyBorder="1"/>
    <xf numFmtId="0" fontId="1" fillId="0" borderId="1" xfId="0" applyFont="1" applyBorder="1"/>
    <xf numFmtId="1" fontId="10" fillId="0" borderId="1" xfId="0" applyNumberFormat="1" applyFont="1" applyBorder="1"/>
    <xf numFmtId="0" fontId="0" fillId="0" borderId="13" xfId="0" applyBorder="1"/>
    <xf numFmtId="0" fontId="0" fillId="0" borderId="20" xfId="0" applyBorder="1" applyAlignment="1">
      <alignment horizontal="center"/>
    </xf>
    <xf numFmtId="0" fontId="0" fillId="0" borderId="22" xfId="0" applyBorder="1" applyAlignment="1">
      <alignment horizontal="center"/>
    </xf>
    <xf numFmtId="0" fontId="0" fillId="0" borderId="21" xfId="0" applyBorder="1"/>
    <xf numFmtId="0" fontId="0" fillId="0" borderId="1" xfId="0" applyBorder="1" applyAlignment="1">
      <alignment horizontal="right"/>
    </xf>
    <xf numFmtId="165" fontId="10" fillId="0" borderId="1" xfId="0" applyNumberFormat="1" applyFont="1" applyBorder="1"/>
    <xf numFmtId="0" fontId="0" fillId="0" borderId="14" xfId="0" applyBorder="1"/>
    <xf numFmtId="0" fontId="0" fillId="0" borderId="8" xfId="0" applyBorder="1"/>
    <xf numFmtId="2" fontId="9" fillId="0" borderId="1" xfId="0" applyNumberFormat="1" applyFont="1" applyBorder="1" applyAlignment="1">
      <alignment horizontal="right"/>
    </xf>
    <xf numFmtId="0" fontId="0" fillId="0" borderId="8" xfId="0" applyBorder="1" applyAlignment="1">
      <alignment horizontal="left" vertical="top"/>
    </xf>
    <xf numFmtId="0" fontId="10" fillId="0" borderId="8" xfId="0" applyFont="1" applyBorder="1"/>
    <xf numFmtId="0" fontId="1" fillId="0" borderId="8" xfId="0" applyFont="1" applyBorder="1"/>
    <xf numFmtId="0" fontId="0" fillId="0" borderId="6" xfId="0" applyBorder="1" applyAlignment="1">
      <alignment horizontal="center"/>
    </xf>
    <xf numFmtId="0" fontId="1" fillId="0" borderId="6" xfId="0" applyFont="1" applyBorder="1"/>
    <xf numFmtId="0" fontId="11" fillId="0" borderId="1" xfId="0" applyFont="1" applyBorder="1"/>
    <xf numFmtId="0" fontId="0" fillId="3" borderId="1" xfId="0" applyFill="1" applyBorder="1" applyAlignment="1">
      <alignment horizontal="center" vertical="center" wrapText="1"/>
    </xf>
    <xf numFmtId="0" fontId="0" fillId="3" borderId="1" xfId="0" applyFill="1" applyBorder="1"/>
    <xf numFmtId="0" fontId="10" fillId="3" borderId="1" xfId="0" applyFont="1" applyFill="1" applyBorder="1"/>
    <xf numFmtId="0" fontId="1" fillId="3" borderId="1" xfId="0" applyFont="1" applyFill="1" applyBorder="1"/>
    <xf numFmtId="2" fontId="10" fillId="3" borderId="1" xfId="0" applyNumberFormat="1" applyFont="1" applyFill="1" applyBorder="1"/>
    <xf numFmtId="164" fontId="10" fillId="3" borderId="1" xfId="0" applyNumberFormat="1" applyFont="1" applyFill="1" applyBorder="1"/>
    <xf numFmtId="0" fontId="0" fillId="4" borderId="1" xfId="0" applyFill="1" applyBorder="1" applyAlignment="1">
      <alignment horizontal="center" vertical="center" wrapText="1"/>
    </xf>
    <xf numFmtId="0" fontId="0" fillId="4" borderId="1" xfId="0" applyFill="1" applyBorder="1"/>
    <xf numFmtId="0" fontId="10" fillId="4" borderId="1" xfId="0" applyFont="1" applyFill="1" applyBorder="1"/>
    <xf numFmtId="0" fontId="1" fillId="4" borderId="1" xfId="0" applyFont="1" applyFill="1" applyBorder="1"/>
    <xf numFmtId="0" fontId="0" fillId="4" borderId="8" xfId="0" applyFill="1" applyBorder="1"/>
    <xf numFmtId="2" fontId="10" fillId="4" borderId="1" xfId="0" applyNumberFormat="1" applyFont="1" applyFill="1" applyBorder="1"/>
    <xf numFmtId="0" fontId="0" fillId="4" borderId="14" xfId="0" applyFill="1" applyBorder="1"/>
    <xf numFmtId="0" fontId="0" fillId="4" borderId="9" xfId="0" applyFill="1" applyBorder="1"/>
    <xf numFmtId="0" fontId="0" fillId="4" borderId="7" xfId="0" applyFill="1" applyBorder="1"/>
    <xf numFmtId="164" fontId="10" fillId="4" borderId="1" xfId="0" applyNumberFormat="1" applyFont="1" applyFill="1" applyBorder="1"/>
    <xf numFmtId="1" fontId="10" fillId="4" borderId="1" xfId="0" applyNumberFormat="1" applyFont="1" applyFill="1" applyBorder="1"/>
    <xf numFmtId="0" fontId="0" fillId="3" borderId="1" xfId="0" applyFill="1" applyBorder="1" applyAlignment="1">
      <alignment horizontal="center"/>
    </xf>
    <xf numFmtId="0" fontId="0" fillId="3" borderId="8" xfId="0" applyFill="1" applyBorder="1"/>
    <xf numFmtId="0" fontId="0" fillId="3" borderId="14" xfId="0" applyFill="1" applyBorder="1"/>
    <xf numFmtId="0" fontId="0" fillId="3" borderId="9" xfId="0" applyFill="1" applyBorder="1"/>
    <xf numFmtId="0" fontId="0" fillId="4" borderId="1" xfId="0" applyFill="1" applyBorder="1" applyAlignment="1">
      <alignment horizontal="center"/>
    </xf>
    <xf numFmtId="0" fontId="0" fillId="4" borderId="1" xfId="0" applyFill="1" applyBorder="1" applyAlignment="1">
      <alignment horizontal="left"/>
    </xf>
    <xf numFmtId="0" fontId="0" fillId="3" borderId="1" xfId="0" applyFill="1" applyBorder="1" applyAlignment="1">
      <alignment horizontal="left"/>
    </xf>
    <xf numFmtId="0" fontId="11" fillId="3" borderId="1" xfId="0" applyFont="1" applyFill="1" applyBorder="1" applyAlignment="1">
      <alignment horizontal="center"/>
    </xf>
    <xf numFmtId="0" fontId="11" fillId="3" borderId="1" xfId="0" applyFont="1" applyFill="1" applyBorder="1"/>
    <xf numFmtId="2" fontId="11" fillId="3" borderId="1" xfId="0" applyNumberFormat="1" applyFont="1" applyFill="1" applyBorder="1"/>
    <xf numFmtId="0" fontId="12" fillId="3" borderId="1" xfId="0" applyFont="1" applyFill="1" applyBorder="1"/>
    <xf numFmtId="0" fontId="11" fillId="0" borderId="0" xfId="0" applyFont="1"/>
    <xf numFmtId="2" fontId="11" fillId="0" borderId="8" xfId="0" applyNumberFormat="1" applyFont="1" applyBorder="1"/>
    <xf numFmtId="2" fontId="11" fillId="4" borderId="1" xfId="0" applyNumberFormat="1" applyFont="1" applyFill="1" applyBorder="1"/>
    <xf numFmtId="2" fontId="11" fillId="0" borderId="6" xfId="0" applyNumberFormat="1" applyFont="1" applyBorder="1"/>
    <xf numFmtId="2" fontId="10" fillId="5" borderId="1" xfId="0" applyNumberFormat="1" applyFont="1" applyFill="1" applyBorder="1"/>
    <xf numFmtId="2" fontId="11" fillId="5" borderId="1" xfId="0" applyNumberFormat="1" applyFont="1" applyFill="1" applyBorder="1"/>
    <xf numFmtId="0" fontId="1" fillId="5" borderId="1" xfId="0" applyFont="1" applyFill="1" applyBorder="1"/>
    <xf numFmtId="0" fontId="0" fillId="5" borderId="1" xfId="0" applyFill="1" applyBorder="1"/>
    <xf numFmtId="0" fontId="0" fillId="3" borderId="1" xfId="0" applyFill="1" applyBorder="1" applyAlignment="1">
      <alignment horizontal="left" vertical="top"/>
    </xf>
    <xf numFmtId="0" fontId="0" fillId="4" borderId="1" xfId="0" applyFill="1" applyBorder="1" applyAlignment="1">
      <alignment horizontal="left" vertical="top"/>
    </xf>
    <xf numFmtId="1" fontId="10" fillId="3" borderId="1" xfId="0" applyNumberFormat="1" applyFont="1" applyFill="1" applyBorder="1"/>
    <xf numFmtId="0" fontId="11" fillId="3" borderId="14" xfId="0" applyFont="1" applyFill="1" applyBorder="1"/>
    <xf numFmtId="0" fontId="11" fillId="3" borderId="9" xfId="0" applyFont="1" applyFill="1" applyBorder="1"/>
    <xf numFmtId="2" fontId="0" fillId="3" borderId="9" xfId="0" applyNumberFormat="1" applyFill="1" applyBorder="1"/>
    <xf numFmtId="0" fontId="0" fillId="5" borderId="0" xfId="0" applyFill="1"/>
    <xf numFmtId="2" fontId="9" fillId="0" borderId="0" xfId="0" applyNumberFormat="1" applyFont="1" applyAlignment="1">
      <alignment horizontal="right"/>
    </xf>
    <xf numFmtId="2" fontId="13" fillId="0" borderId="1" xfId="0" applyNumberFormat="1" applyFont="1" applyBorder="1"/>
    <xf numFmtId="2" fontId="13" fillId="3" borderId="1" xfId="0" applyNumberFormat="1" applyFont="1" applyFill="1" applyBorder="1"/>
    <xf numFmtId="2" fontId="13" fillId="4" borderId="1" xfId="0" applyNumberFormat="1" applyFont="1" applyFill="1" applyBorder="1"/>
    <xf numFmtId="0" fontId="13" fillId="0" borderId="1" xfId="0" applyFont="1" applyBorder="1"/>
    <xf numFmtId="1" fontId="10" fillId="5" borderId="1" xfId="0" applyNumberFormat="1" applyFont="1" applyFill="1" applyBorder="1"/>
    <xf numFmtId="0" fontId="10" fillId="0" borderId="0" xfId="0" applyFont="1"/>
    <xf numFmtId="0" fontId="1" fillId="0" borderId="0" xfId="0" applyFont="1" applyAlignment="1">
      <alignment horizontal="left"/>
    </xf>
    <xf numFmtId="0" fontId="0" fillId="0" borderId="0" xfId="0" applyAlignment="1">
      <alignment vertical="center"/>
    </xf>
    <xf numFmtId="0" fontId="0" fillId="0" borderId="0" xfId="0" applyAlignment="1">
      <alignment vertical="center" wrapText="1"/>
    </xf>
    <xf numFmtId="0" fontId="0" fillId="4" borderId="1" xfId="0" applyFill="1" applyBorder="1" applyAlignment="1">
      <alignment horizontal="center" vertical="center"/>
    </xf>
    <xf numFmtId="0" fontId="0" fillId="3" borderId="1" xfId="0" applyFill="1" applyBorder="1" applyAlignment="1">
      <alignment horizontal="center" vertical="center"/>
    </xf>
    <xf numFmtId="0" fontId="0" fillId="6" borderId="1" xfId="0" applyFill="1" applyBorder="1" applyAlignment="1">
      <alignment horizontal="center" vertical="center" wrapText="1"/>
    </xf>
    <xf numFmtId="0" fontId="0" fillId="6" borderId="1" xfId="0" applyFill="1" applyBorder="1"/>
    <xf numFmtId="0" fontId="10" fillId="6" borderId="1" xfId="0" applyFont="1" applyFill="1" applyBorder="1"/>
    <xf numFmtId="2" fontId="13" fillId="6" borderId="1" xfId="0" applyNumberFormat="1" applyFont="1" applyFill="1" applyBorder="1"/>
    <xf numFmtId="0" fontId="0" fillId="6" borderId="0" xfId="0" applyFill="1"/>
    <xf numFmtId="0" fontId="11" fillId="6" borderId="1" xfId="0" applyFont="1" applyFill="1" applyBorder="1"/>
    <xf numFmtId="0" fontId="1" fillId="6" borderId="1" xfId="0" applyFont="1" applyFill="1" applyBorder="1"/>
    <xf numFmtId="0" fontId="0" fillId="6" borderId="1" xfId="0" applyFill="1" applyBorder="1" applyAlignment="1">
      <alignment horizontal="left" vertical="top"/>
    </xf>
    <xf numFmtId="2" fontId="11" fillId="6" borderId="1" xfId="0" applyNumberFormat="1" applyFont="1" applyFill="1" applyBorder="1"/>
    <xf numFmtId="0" fontId="0" fillId="6" borderId="1" xfId="0" applyFill="1" applyBorder="1" applyAlignment="1">
      <alignment horizontal="center" vertical="center"/>
    </xf>
    <xf numFmtId="0" fontId="0" fillId="5" borderId="1" xfId="0" applyFill="1" applyBorder="1" applyAlignment="1">
      <alignment horizontal="left" vertical="top"/>
    </xf>
    <xf numFmtId="0" fontId="10" fillId="5" borderId="1" xfId="0" applyFont="1" applyFill="1" applyBorder="1"/>
    <xf numFmtId="2" fontId="13" fillId="5" borderId="1" xfId="0" applyNumberFormat="1" applyFont="1" applyFill="1" applyBorder="1"/>
    <xf numFmtId="0" fontId="1" fillId="0" borderId="0" xfId="0" applyFont="1" applyAlignment="1">
      <alignment horizontal="center" vertical="center"/>
    </xf>
    <xf numFmtId="0" fontId="1" fillId="0" borderId="0" xfId="0" applyFont="1" applyAlignment="1">
      <alignment horizontal="center" vertical="center" wrapText="1"/>
    </xf>
    <xf numFmtId="0" fontId="12" fillId="0" borderId="0" xfId="0" applyFont="1"/>
    <xf numFmtId="0" fontId="1" fillId="0" borderId="0" xfId="0" applyFont="1" applyAlignment="1">
      <alignment horizontal="center"/>
    </xf>
    <xf numFmtId="0" fontId="1" fillId="0" borderId="8" xfId="0" applyFont="1" applyBorder="1" applyAlignment="1">
      <alignment horizontal="center"/>
    </xf>
    <xf numFmtId="0" fontId="1" fillId="0" borderId="7" xfId="0" applyFont="1" applyBorder="1" applyAlignment="1">
      <alignment horizontal="center"/>
    </xf>
    <xf numFmtId="0" fontId="1" fillId="0" borderId="13" xfId="0" applyFont="1" applyBorder="1" applyAlignment="1">
      <alignment horizontal="center"/>
    </xf>
    <xf numFmtId="0" fontId="0" fillId="5" borderId="1" xfId="0" applyFill="1" applyBorder="1" applyAlignment="1">
      <alignment horizontal="center" vertical="center"/>
    </xf>
    <xf numFmtId="2" fontId="10" fillId="6" borderId="1" xfId="0" applyNumberFormat="1" applyFont="1" applyFill="1" applyBorder="1"/>
    <xf numFmtId="0" fontId="0" fillId="0" borderId="0" xfId="1" applyFont="1" applyBorder="1" applyAlignment="1">
      <alignment horizontal="left" vertical="top"/>
    </xf>
    <xf numFmtId="0" fontId="0" fillId="0" borderId="15" xfId="0" applyBorder="1" applyAlignment="1">
      <alignment horizontal="center" vertical="center" wrapText="1"/>
    </xf>
    <xf numFmtId="0" fontId="0" fillId="7" borderId="15" xfId="0" applyFill="1" applyBorder="1"/>
    <xf numFmtId="0" fontId="0" fillId="8" borderId="1" xfId="0" applyFill="1" applyBorder="1"/>
    <xf numFmtId="0" fontId="0" fillId="7" borderId="5" xfId="0" applyFill="1" applyBorder="1"/>
    <xf numFmtId="0" fontId="0" fillId="8" borderId="7" xfId="0" applyFill="1" applyBorder="1"/>
    <xf numFmtId="2" fontId="1" fillId="10" borderId="9" xfId="0" applyNumberFormat="1" applyFont="1" applyFill="1" applyBorder="1" applyAlignment="1">
      <alignment horizontal="center" vertical="center"/>
    </xf>
    <xf numFmtId="2" fontId="1" fillId="0" borderId="1" xfId="0" applyNumberFormat="1" applyFont="1" applyBorder="1" applyAlignment="1">
      <alignment vertical="center"/>
    </xf>
    <xf numFmtId="2" fontId="1" fillId="0" borderId="7" xfId="0" applyNumberFormat="1" applyFont="1" applyBorder="1" applyAlignment="1">
      <alignment vertical="center"/>
    </xf>
    <xf numFmtId="2" fontId="1" fillId="9" borderId="9" xfId="0" applyNumberFormat="1" applyFont="1" applyFill="1" applyBorder="1" applyAlignment="1">
      <alignment horizontal="center" vertical="center"/>
    </xf>
    <xf numFmtId="2" fontId="1" fillId="10" borderId="9" xfId="0" applyNumberFormat="1" applyFont="1" applyFill="1" applyBorder="1" applyAlignment="1">
      <alignment vertical="center"/>
    </xf>
    <xf numFmtId="2" fontId="1" fillId="10" borderId="9" xfId="0" applyNumberFormat="1" applyFont="1" applyFill="1" applyBorder="1" applyAlignment="1">
      <alignment vertical="center" wrapText="1"/>
    </xf>
    <xf numFmtId="2" fontId="12" fillId="5" borderId="7" xfId="0" applyNumberFormat="1" applyFont="1" applyFill="1" applyBorder="1" applyAlignment="1">
      <alignment vertical="center"/>
    </xf>
    <xf numFmtId="0" fontId="0" fillId="7" borderId="15" xfId="0" applyFill="1" applyBorder="1" applyAlignment="1">
      <alignment horizontal="center"/>
    </xf>
    <xf numFmtId="0" fontId="0" fillId="8" borderId="1" xfId="0" applyFill="1" applyBorder="1" applyAlignment="1">
      <alignment horizontal="center"/>
    </xf>
    <xf numFmtId="0" fontId="0" fillId="7" borderId="1" xfId="0" applyFill="1" applyBorder="1" applyAlignment="1">
      <alignment horizontal="center"/>
    </xf>
    <xf numFmtId="0" fontId="0" fillId="7" borderId="1" xfId="0" applyFill="1" applyBorder="1" applyAlignment="1">
      <alignment horizontal="center" vertical="center"/>
    </xf>
    <xf numFmtId="0" fontId="0" fillId="7" borderId="0" xfId="0" applyFill="1"/>
    <xf numFmtId="0" fontId="0" fillId="7" borderId="1" xfId="0" applyFill="1" applyBorder="1" applyAlignment="1">
      <alignment horizontal="center" vertical="center" wrapText="1"/>
    </xf>
    <xf numFmtId="0" fontId="0" fillId="8" borderId="7" xfId="0" applyFill="1" applyBorder="1" applyAlignment="1">
      <alignment horizontal="center" vertical="center"/>
    </xf>
    <xf numFmtId="0" fontId="0" fillId="8" borderId="0" xfId="0" applyFill="1"/>
    <xf numFmtId="0" fontId="0" fillId="8" borderId="1" xfId="0" applyFill="1" applyBorder="1" applyAlignment="1">
      <alignment horizontal="center" vertical="center"/>
    </xf>
    <xf numFmtId="0" fontId="0" fillId="8" borderId="1" xfId="0" applyFill="1" applyBorder="1" applyAlignment="1">
      <alignment horizontal="center" vertical="center" wrapText="1"/>
    </xf>
    <xf numFmtId="0" fontId="0" fillId="7" borderId="7" xfId="0" applyFill="1" applyBorder="1" applyAlignment="1">
      <alignment horizontal="center" vertical="center"/>
    </xf>
    <xf numFmtId="0" fontId="0" fillId="12" borderId="7" xfId="0" applyFill="1" applyBorder="1" applyAlignment="1">
      <alignment horizontal="center" vertical="center"/>
    </xf>
    <xf numFmtId="0" fontId="0" fillId="12" borderId="0" xfId="0" applyFill="1"/>
    <xf numFmtId="0" fontId="0" fillId="12" borderId="1" xfId="0" applyFill="1" applyBorder="1" applyAlignment="1">
      <alignment horizontal="center" vertical="center"/>
    </xf>
    <xf numFmtId="0" fontId="0" fillId="12" borderId="1" xfId="0" applyFill="1" applyBorder="1" applyAlignment="1">
      <alignment horizontal="center" vertical="center" wrapText="1"/>
    </xf>
    <xf numFmtId="0" fontId="0" fillId="7" borderId="14" xfId="0" applyFill="1" applyBorder="1" applyAlignment="1">
      <alignment horizontal="center" vertical="center"/>
    </xf>
    <xf numFmtId="0" fontId="0" fillId="7" borderId="14" xfId="0" applyFill="1" applyBorder="1" applyAlignment="1">
      <alignment horizontal="center" vertical="center" wrapText="1"/>
    </xf>
    <xf numFmtId="11" fontId="0" fillId="7" borderId="14" xfId="0" applyNumberFormat="1" applyFill="1" applyBorder="1" applyAlignment="1">
      <alignment horizontal="center" vertical="center"/>
    </xf>
    <xf numFmtId="11" fontId="0" fillId="7" borderId="1" xfId="0" applyNumberFormat="1" applyFill="1" applyBorder="1" applyAlignment="1">
      <alignment horizontal="center" vertical="center"/>
    </xf>
    <xf numFmtId="11" fontId="0" fillId="7" borderId="18" xfId="0" applyNumberFormat="1" applyFill="1" applyBorder="1" applyAlignment="1">
      <alignment horizontal="center" vertical="center"/>
    </xf>
    <xf numFmtId="11" fontId="0" fillId="8" borderId="1" xfId="0" applyNumberFormat="1" applyFill="1" applyBorder="1" applyAlignment="1">
      <alignment horizontal="center" vertical="center"/>
    </xf>
    <xf numFmtId="0" fontId="0" fillId="12" borderId="1" xfId="0" applyFill="1" applyBorder="1"/>
    <xf numFmtId="0" fontId="1" fillId="0" borderId="14" xfId="0" applyFont="1" applyBorder="1"/>
    <xf numFmtId="0" fontId="1" fillId="0" borderId="4" xfId="0" applyFont="1" applyBorder="1"/>
    <xf numFmtId="11" fontId="0" fillId="12" borderId="1" xfId="0" applyNumberFormat="1" applyFill="1" applyBorder="1" applyAlignment="1">
      <alignment horizontal="center" vertical="center"/>
    </xf>
    <xf numFmtId="11" fontId="0" fillId="8" borderId="1" xfId="0" applyNumberFormat="1" applyFill="1" applyBorder="1" applyAlignment="1">
      <alignment horizontal="center" vertical="center" wrapText="1"/>
    </xf>
    <xf numFmtId="0" fontId="0" fillId="8" borderId="15" xfId="0" applyFill="1" applyBorder="1" applyAlignment="1">
      <alignment horizontal="center"/>
    </xf>
    <xf numFmtId="0" fontId="0" fillId="12" borderId="15" xfId="0" applyFill="1" applyBorder="1" applyAlignment="1">
      <alignment horizontal="center"/>
    </xf>
    <xf numFmtId="0" fontId="0" fillId="8" borderId="5" xfId="0" applyFill="1" applyBorder="1" applyAlignment="1">
      <alignment horizontal="center"/>
    </xf>
    <xf numFmtId="0" fontId="0" fillId="12" borderId="5" xfId="0" applyFill="1" applyBorder="1" applyAlignment="1">
      <alignment horizontal="center"/>
    </xf>
    <xf numFmtId="0" fontId="0" fillId="12" borderId="15" xfId="0" applyFill="1" applyBorder="1"/>
    <xf numFmtId="0" fontId="0" fillId="8" borderId="15" xfId="0" applyFill="1" applyBorder="1"/>
    <xf numFmtId="0" fontId="0" fillId="12" borderId="1" xfId="0" applyFill="1" applyBorder="1" applyAlignment="1">
      <alignment horizontal="center"/>
    </xf>
    <xf numFmtId="0" fontId="0" fillId="8" borderId="7" xfId="0" applyFill="1" applyBorder="1" applyAlignment="1">
      <alignment horizontal="center"/>
    </xf>
    <xf numFmtId="0" fontId="0" fillId="7" borderId="7" xfId="0" applyFill="1" applyBorder="1" applyAlignment="1">
      <alignment horizontal="center"/>
    </xf>
    <xf numFmtId="0" fontId="0" fillId="12" borderId="7" xfId="0" applyFill="1" applyBorder="1" applyAlignment="1">
      <alignment horizontal="center"/>
    </xf>
    <xf numFmtId="0" fontId="0" fillId="8" borderId="5" xfId="0" applyFill="1" applyBorder="1"/>
    <xf numFmtId="0" fontId="0" fillId="12" borderId="5" xfId="0" applyFill="1" applyBorder="1"/>
    <xf numFmtId="0" fontId="0" fillId="7" borderId="1" xfId="0" applyFill="1" applyBorder="1"/>
    <xf numFmtId="0" fontId="0" fillId="12" borderId="7" xfId="0" applyFill="1" applyBorder="1"/>
    <xf numFmtId="0" fontId="0" fillId="7" borderId="7" xfId="0" applyFill="1" applyBorder="1"/>
    <xf numFmtId="0" fontId="1" fillId="7" borderId="15" xfId="0" applyFont="1" applyFill="1" applyBorder="1" applyAlignment="1">
      <alignment horizontal="center"/>
    </xf>
    <xf numFmtId="0" fontId="1" fillId="8" borderId="15" xfId="0" applyFont="1" applyFill="1" applyBorder="1" applyAlignment="1">
      <alignment horizontal="center"/>
    </xf>
    <xf numFmtId="0" fontId="1" fillId="12" borderId="5" xfId="0" applyFont="1" applyFill="1" applyBorder="1" applyAlignment="1">
      <alignment horizontal="center"/>
    </xf>
    <xf numFmtId="0" fontId="0" fillId="0" borderId="35" xfId="0" applyBorder="1"/>
    <xf numFmtId="0" fontId="0" fillId="0" borderId="36" xfId="0" applyBorder="1"/>
    <xf numFmtId="0" fontId="0" fillId="0" borderId="17" xfId="0" applyBorder="1"/>
    <xf numFmtId="0" fontId="0" fillId="0" borderId="38" xfId="0" applyBorder="1"/>
    <xf numFmtId="0" fontId="7" fillId="0" borderId="35" xfId="0" applyFont="1" applyBorder="1"/>
    <xf numFmtId="0" fontId="7" fillId="0" borderId="17" xfId="0" applyFont="1" applyBorder="1"/>
    <xf numFmtId="0" fontId="1" fillId="0" borderId="18" xfId="0" applyFont="1" applyBorder="1"/>
    <xf numFmtId="0" fontId="1" fillId="0" borderId="24" xfId="0" applyFont="1" applyBorder="1"/>
    <xf numFmtId="165" fontId="0" fillId="0" borderId="25" xfId="0" applyNumberFormat="1" applyBorder="1"/>
    <xf numFmtId="165" fontId="0" fillId="9" borderId="25" xfId="0" applyNumberFormat="1" applyFill="1" applyBorder="1"/>
    <xf numFmtId="0" fontId="0" fillId="0" borderId="20" xfId="0" applyBorder="1"/>
    <xf numFmtId="0" fontId="0" fillId="0" borderId="39" xfId="0" applyBorder="1"/>
    <xf numFmtId="165" fontId="0" fillId="0" borderId="13" xfId="0" applyNumberFormat="1" applyBorder="1"/>
    <xf numFmtId="165" fontId="0" fillId="0" borderId="26" xfId="0" applyNumberFormat="1" applyBorder="1"/>
    <xf numFmtId="2" fontId="0" fillId="0" borderId="0" xfId="0" applyNumberFormat="1"/>
    <xf numFmtId="2" fontId="0" fillId="0" borderId="37" xfId="0" applyNumberFormat="1" applyBorder="1"/>
    <xf numFmtId="0" fontId="0" fillId="0" borderId="37" xfId="0" applyBorder="1"/>
    <xf numFmtId="0" fontId="19" fillId="0" borderId="9" xfId="0" applyFont="1" applyBorder="1" applyAlignment="1">
      <alignment vertical="center"/>
    </xf>
    <xf numFmtId="0" fontId="0" fillId="0" borderId="16" xfId="0" applyBorder="1"/>
    <xf numFmtId="0" fontId="8" fillId="5" borderId="1" xfId="0" applyFont="1" applyFill="1" applyBorder="1" applyAlignment="1">
      <alignment vertical="top" wrapText="1"/>
    </xf>
    <xf numFmtId="0" fontId="0" fillId="7" borderId="12" xfId="0" applyFill="1" applyBorder="1" applyAlignment="1">
      <alignment horizontal="center"/>
    </xf>
    <xf numFmtId="165" fontId="0" fillId="7" borderId="0" xfId="0" applyNumberFormat="1" applyFill="1"/>
    <xf numFmtId="165" fontId="0" fillId="7" borderId="37" xfId="0" applyNumberFormat="1" applyFill="1" applyBorder="1"/>
    <xf numFmtId="11" fontId="0" fillId="7" borderId="0" xfId="0" applyNumberFormat="1" applyFill="1"/>
    <xf numFmtId="11" fontId="0" fillId="7" borderId="37" xfId="0" applyNumberFormat="1" applyFill="1" applyBorder="1"/>
    <xf numFmtId="0" fontId="0" fillId="8" borderId="16" xfId="0" applyFill="1" applyBorder="1" applyAlignment="1">
      <alignment horizontal="center"/>
    </xf>
    <xf numFmtId="165" fontId="0" fillId="8" borderId="0" xfId="0" applyNumberFormat="1" applyFill="1"/>
    <xf numFmtId="165" fontId="0" fillId="8" borderId="37" xfId="0" applyNumberFormat="1" applyFill="1" applyBorder="1"/>
    <xf numFmtId="11" fontId="0" fillId="8" borderId="0" xfId="0" applyNumberFormat="1" applyFill="1"/>
    <xf numFmtId="11" fontId="0" fillId="8" borderId="37" xfId="0" applyNumberFormat="1" applyFill="1" applyBorder="1"/>
    <xf numFmtId="0" fontId="0" fillId="12" borderId="13" xfId="0" applyFill="1" applyBorder="1" applyAlignment="1">
      <alignment horizontal="center"/>
    </xf>
    <xf numFmtId="165" fontId="0" fillId="12" borderId="36" xfId="0" applyNumberFormat="1" applyFill="1" applyBorder="1"/>
    <xf numFmtId="165" fontId="0" fillId="12" borderId="38" xfId="0" applyNumberFormat="1" applyFill="1" applyBorder="1"/>
    <xf numFmtId="11" fontId="0" fillId="12" borderId="36" xfId="0" applyNumberFormat="1" applyFill="1" applyBorder="1"/>
    <xf numFmtId="11" fontId="0" fillId="12" borderId="38" xfId="0" applyNumberFormat="1" applyFill="1" applyBorder="1"/>
    <xf numFmtId="164" fontId="0" fillId="9" borderId="25" xfId="0" applyNumberFormat="1" applyFill="1" applyBorder="1"/>
    <xf numFmtId="0" fontId="1" fillId="0" borderId="1" xfId="0" applyFont="1" applyBorder="1" applyAlignment="1">
      <alignment horizontal="center"/>
    </xf>
    <xf numFmtId="2" fontId="13" fillId="0" borderId="1" xfId="0" applyNumberFormat="1" applyFont="1" applyBorder="1" applyAlignment="1">
      <alignment horizontal="center"/>
    </xf>
    <xf numFmtId="0" fontId="9" fillId="0" borderId="0" xfId="0" applyFont="1" applyAlignment="1">
      <alignment horizontal="center"/>
    </xf>
    <xf numFmtId="0" fontId="0" fillId="0" borderId="37" xfId="0" applyBorder="1" applyAlignment="1">
      <alignment horizontal="center"/>
    </xf>
    <xf numFmtId="0" fontId="1" fillId="0" borderId="0" xfId="0" applyFont="1" applyAlignment="1">
      <alignment horizontal="right"/>
    </xf>
    <xf numFmtId="0" fontId="9" fillId="0" borderId="1" xfId="0" applyFont="1" applyBorder="1" applyAlignment="1">
      <alignment horizontal="center"/>
    </xf>
    <xf numFmtId="0" fontId="9" fillId="3" borderId="1" xfId="0" applyFont="1" applyFill="1" applyBorder="1"/>
    <xf numFmtId="0" fontId="14" fillId="0" borderId="0" xfId="0" applyFont="1" applyAlignment="1">
      <alignment horizontal="center" vertical="center"/>
    </xf>
    <xf numFmtId="0" fontId="13" fillId="6" borderId="1" xfId="0" applyFont="1" applyFill="1" applyBorder="1"/>
    <xf numFmtId="0" fontId="13" fillId="4" borderId="1" xfId="0" applyFont="1" applyFill="1" applyBorder="1"/>
    <xf numFmtId="0" fontId="13" fillId="3" borderId="1" xfId="0" applyFont="1" applyFill="1" applyBorder="1"/>
    <xf numFmtId="0" fontId="13" fillId="5" borderId="1" xfId="0" applyFont="1" applyFill="1" applyBorder="1"/>
    <xf numFmtId="0" fontId="13" fillId="0" borderId="8" xfId="0" applyFont="1" applyBorder="1"/>
    <xf numFmtId="0" fontId="13" fillId="4" borderId="15" xfId="0" applyFont="1" applyFill="1" applyBorder="1"/>
    <xf numFmtId="0" fontId="13" fillId="3" borderId="15" xfId="0" applyFont="1" applyFill="1" applyBorder="1"/>
    <xf numFmtId="0" fontId="13" fillId="0" borderId="6" xfId="0" applyFont="1" applyBorder="1"/>
    <xf numFmtId="0" fontId="13" fillId="0" borderId="15" xfId="0" applyFont="1" applyBorder="1"/>
    <xf numFmtId="0" fontId="21" fillId="0" borderId="0" xfId="0" applyFont="1" applyAlignment="1">
      <alignment horizontal="center" vertical="center"/>
    </xf>
    <xf numFmtId="0" fontId="22" fillId="0" borderId="0" xfId="0" applyFont="1" applyAlignment="1">
      <alignment horizontal="center" vertical="center"/>
    </xf>
    <xf numFmtId="0" fontId="0" fillId="0" borderId="0" xfId="0" applyAlignment="1">
      <alignment horizontal="center" vertical="top" wrapText="1"/>
    </xf>
    <xf numFmtId="0" fontId="0" fillId="3" borderId="0" xfId="0" applyFill="1"/>
    <xf numFmtId="0" fontId="0" fillId="0" borderId="26" xfId="0" applyBorder="1"/>
    <xf numFmtId="0" fontId="0" fillId="0" borderId="40" xfId="0" applyBorder="1"/>
    <xf numFmtId="0" fontId="7" fillId="0" borderId="28" xfId="0" applyFont="1" applyBorder="1"/>
    <xf numFmtId="0" fontId="0" fillId="0" borderId="30" xfId="0" applyBorder="1"/>
    <xf numFmtId="0" fontId="7" fillId="0" borderId="33" xfId="0" applyFont="1" applyBorder="1"/>
    <xf numFmtId="0" fontId="0" fillId="0" borderId="34" xfId="0" applyBorder="1"/>
    <xf numFmtId="0" fontId="23" fillId="0" borderId="0" xfId="0" applyFont="1" applyAlignment="1">
      <alignment horizontal="center"/>
    </xf>
    <xf numFmtId="0" fontId="0" fillId="0" borderId="18" xfId="0" applyBorder="1"/>
    <xf numFmtId="0" fontId="0" fillId="0" borderId="44" xfId="0" applyBorder="1"/>
    <xf numFmtId="0" fontId="0" fillId="0" borderId="42" xfId="0" applyBorder="1"/>
    <xf numFmtId="0" fontId="0" fillId="0" borderId="45" xfId="0" applyBorder="1"/>
    <xf numFmtId="0" fontId="0" fillId="0" borderId="39" xfId="0" applyBorder="1" applyAlignment="1">
      <alignment horizontal="center"/>
    </xf>
    <xf numFmtId="0" fontId="0" fillId="0" borderId="21" xfId="0" applyBorder="1" applyAlignment="1">
      <alignment horizontal="center"/>
    </xf>
    <xf numFmtId="0" fontId="23" fillId="0" borderId="0" xfId="0" applyFont="1" applyAlignment="1">
      <alignment horizontal="center" vertical="center"/>
    </xf>
    <xf numFmtId="0" fontId="24" fillId="0" borderId="0" xfId="0" applyFont="1"/>
    <xf numFmtId="2" fontId="26" fillId="0" borderId="1" xfId="0" applyNumberFormat="1" applyFont="1" applyBorder="1" applyAlignment="1">
      <alignment horizontal="right"/>
    </xf>
    <xf numFmtId="0" fontId="0" fillId="0" borderId="19" xfId="0" applyBorder="1"/>
    <xf numFmtId="0" fontId="0" fillId="0" borderId="3" xfId="0" applyBorder="1"/>
    <xf numFmtId="2" fontId="27" fillId="0" borderId="1" xfId="0" applyNumberFormat="1" applyFont="1" applyBorder="1"/>
    <xf numFmtId="0" fontId="1" fillId="0" borderId="12" xfId="0" applyFont="1" applyBorder="1" applyAlignment="1">
      <alignment horizontal="left"/>
    </xf>
    <xf numFmtId="0" fontId="29" fillId="0" borderId="0" xfId="0" applyFont="1" applyAlignment="1">
      <alignment horizontal="right"/>
    </xf>
    <xf numFmtId="0" fontId="25" fillId="0" borderId="2" xfId="0" applyFont="1" applyBorder="1" applyAlignment="1">
      <alignment horizontal="left"/>
    </xf>
    <xf numFmtId="0" fontId="30" fillId="0" borderId="0" xfId="0" applyFont="1" applyAlignment="1">
      <alignment horizontal="left"/>
    </xf>
    <xf numFmtId="0" fontId="25" fillId="0" borderId="14" xfId="0" applyFont="1" applyBorder="1" applyAlignment="1">
      <alignment horizontal="left"/>
    </xf>
    <xf numFmtId="0" fontId="29" fillId="0" borderId="0" xfId="0" applyFont="1" applyAlignment="1">
      <alignment horizontal="center"/>
    </xf>
    <xf numFmtId="0" fontId="31" fillId="0" borderId="16" xfId="0" applyFont="1" applyBorder="1" applyAlignment="1">
      <alignment horizontal="left"/>
    </xf>
    <xf numFmtId="0" fontId="32" fillId="0" borderId="0" xfId="0" applyFont="1" applyAlignment="1">
      <alignment horizontal="right"/>
    </xf>
    <xf numFmtId="0" fontId="33" fillId="0" borderId="0" xfId="0" applyFont="1"/>
    <xf numFmtId="0" fontId="34" fillId="0" borderId="0" xfId="0" applyFont="1"/>
    <xf numFmtId="0" fontId="35" fillId="0" borderId="0" xfId="0" applyFont="1" applyAlignment="1">
      <alignment vertical="top" wrapText="1"/>
    </xf>
    <xf numFmtId="0" fontId="28" fillId="0" borderId="0" xfId="0" applyFont="1" applyAlignment="1">
      <alignment horizontal="center" vertical="top" wrapText="1"/>
    </xf>
    <xf numFmtId="0" fontId="35" fillId="0" borderId="0" xfId="0" applyFont="1"/>
    <xf numFmtId="0" fontId="3" fillId="0" borderId="0" xfId="0" applyFont="1" applyAlignment="1">
      <alignment horizontal="center" vertical="center"/>
    </xf>
    <xf numFmtId="0" fontId="35" fillId="0" borderId="0" xfId="0" applyFont="1" applyAlignment="1">
      <alignment horizontal="center"/>
    </xf>
    <xf numFmtId="0" fontId="3" fillId="0" borderId="0" xfId="0" applyFont="1" applyAlignment="1">
      <alignment horizontal="right"/>
    </xf>
    <xf numFmtId="0" fontId="36" fillId="0" borderId="0" xfId="0" applyFont="1"/>
    <xf numFmtId="0" fontId="37" fillId="0" borderId="0" xfId="0" applyFont="1" applyAlignment="1">
      <alignment horizontal="center"/>
    </xf>
    <xf numFmtId="0" fontId="6" fillId="0" borderId="44" xfId="0" applyFont="1" applyBorder="1"/>
    <xf numFmtId="0" fontId="6" fillId="0" borderId="42" xfId="0" applyFont="1" applyBorder="1"/>
    <xf numFmtId="0" fontId="6" fillId="0" borderId="45" xfId="0" applyFont="1" applyBorder="1"/>
    <xf numFmtId="0" fontId="8" fillId="2" borderId="0" xfId="0" applyFont="1" applyFill="1" applyAlignment="1">
      <alignment vertical="top"/>
    </xf>
    <xf numFmtId="0" fontId="0" fillId="0" borderId="1" xfId="0" applyBorder="1" applyAlignment="1">
      <alignment horizontal="center" vertical="top"/>
    </xf>
    <xf numFmtId="0" fontId="8" fillId="2" borderId="1" xfId="0" applyFont="1" applyFill="1" applyBorder="1" applyAlignment="1">
      <alignment horizontal="center" vertical="top"/>
    </xf>
    <xf numFmtId="1" fontId="0" fillId="0" borderId="0" xfId="0" applyNumberFormat="1" applyAlignment="1">
      <alignment horizontal="right"/>
    </xf>
    <xf numFmtId="0" fontId="0" fillId="0" borderId="0" xfId="0" applyAlignment="1">
      <alignment horizontal="center" vertical="top" wrapText="1"/>
    </xf>
    <xf numFmtId="0" fontId="19" fillId="0" borderId="0" xfId="0" applyFont="1" applyAlignment="1">
      <alignment horizontal="center" vertical="top" wrapText="1"/>
    </xf>
    <xf numFmtId="10" fontId="0" fillId="0" borderId="0" xfId="0" applyNumberFormat="1" applyAlignment="1">
      <alignment horizontal="center" wrapText="1"/>
    </xf>
    <xf numFmtId="0" fontId="0" fillId="0" borderId="0" xfId="0" applyAlignment="1">
      <alignment horizontal="center"/>
    </xf>
    <xf numFmtId="10" fontId="0" fillId="0" borderId="0" xfId="0" applyNumberFormat="1" applyAlignment="1">
      <alignment horizontal="center" vertical="center" wrapText="1"/>
    </xf>
    <xf numFmtId="0" fontId="0" fillId="3" borderId="1" xfId="0" applyFill="1" applyBorder="1" applyAlignment="1">
      <alignment horizontal="center" vertical="center" wrapText="1"/>
    </xf>
    <xf numFmtId="0" fontId="0" fillId="0" borderId="12" xfId="0" applyBorder="1" applyAlignment="1">
      <alignment horizontal="center"/>
    </xf>
    <xf numFmtId="0" fontId="0" fillId="0" borderId="13" xfId="0" applyBorder="1" applyAlignment="1">
      <alignment horizontal="center"/>
    </xf>
    <xf numFmtId="0" fontId="0" fillId="0" borderId="1" xfId="0" applyBorder="1" applyAlignment="1">
      <alignment horizontal="center" vertical="center" wrapText="1"/>
    </xf>
    <xf numFmtId="0" fontId="0" fillId="4" borderId="1" xfId="0" applyFill="1" applyBorder="1" applyAlignment="1">
      <alignment horizontal="center" vertical="center" wrapText="1"/>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3" borderId="8" xfId="0" applyFill="1" applyBorder="1" applyAlignment="1">
      <alignment horizontal="center" vertical="center" wrapText="1"/>
    </xf>
    <xf numFmtId="0" fontId="0" fillId="3" borderId="7" xfId="0" applyFill="1" applyBorder="1" applyAlignment="1">
      <alignment horizontal="center" vertical="center" wrapText="1"/>
    </xf>
    <xf numFmtId="0" fontId="0" fillId="3" borderId="6" xfId="0" applyFill="1" applyBorder="1" applyAlignment="1">
      <alignment horizontal="center" vertical="center" wrapText="1"/>
    </xf>
    <xf numFmtId="0" fontId="0" fillId="6" borderId="8" xfId="0" applyFill="1" applyBorder="1" applyAlignment="1">
      <alignment horizontal="center" vertical="center"/>
    </xf>
    <xf numFmtId="0" fontId="0" fillId="6" borderId="6" xfId="0" applyFill="1" applyBorder="1" applyAlignment="1">
      <alignment horizontal="center" vertical="center"/>
    </xf>
    <xf numFmtId="0" fontId="0" fillId="6" borderId="7" xfId="0" applyFill="1" applyBorder="1" applyAlignment="1">
      <alignment horizontal="center" vertical="center"/>
    </xf>
    <xf numFmtId="0" fontId="0" fillId="5" borderId="8" xfId="0" applyFill="1" applyBorder="1" applyAlignment="1">
      <alignment horizontal="center" vertical="center"/>
    </xf>
    <xf numFmtId="0" fontId="0" fillId="5" borderId="6" xfId="0" applyFill="1" applyBorder="1" applyAlignment="1">
      <alignment horizontal="center" vertical="center"/>
    </xf>
    <xf numFmtId="0" fontId="0" fillId="5" borderId="7" xfId="0" applyFill="1" applyBorder="1" applyAlignment="1">
      <alignment horizontal="center" vertical="center"/>
    </xf>
    <xf numFmtId="0" fontId="0" fillId="0" borderId="0" xfId="0" applyAlignment="1">
      <alignment horizontal="left" vertical="top" wrapText="1"/>
    </xf>
    <xf numFmtId="0" fontId="11" fillId="3"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4" borderId="8" xfId="0" applyFill="1" applyBorder="1" applyAlignment="1">
      <alignment horizontal="center" vertical="center" wrapText="1"/>
    </xf>
    <xf numFmtId="0" fontId="0" fillId="4" borderId="7" xfId="0" applyFill="1" applyBorder="1" applyAlignment="1">
      <alignment horizontal="center" vertical="center" wrapText="1"/>
    </xf>
    <xf numFmtId="0" fontId="0" fillId="0" borderId="19" xfId="0" applyBorder="1" applyAlignment="1">
      <alignment horizontal="center" vertical="center" wrapText="1"/>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15" xfId="0"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6" borderId="1" xfId="0" applyFill="1" applyBorder="1" applyAlignment="1">
      <alignment horizontal="center" vertical="center"/>
    </xf>
    <xf numFmtId="0" fontId="0" fillId="0" borderId="1" xfId="0" applyBorder="1" applyAlignment="1">
      <alignment horizontal="center" vertical="center"/>
    </xf>
    <xf numFmtId="0" fontId="0" fillId="0" borderId="16"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1" fillId="0" borderId="1" xfId="0" applyFont="1" applyBorder="1" applyAlignment="1">
      <alignment horizontal="center"/>
    </xf>
    <xf numFmtId="0" fontId="0" fillId="7" borderId="1" xfId="0" applyFill="1" applyBorder="1" applyAlignment="1">
      <alignment horizontal="center"/>
    </xf>
    <xf numFmtId="0" fontId="0" fillId="8" borderId="14" xfId="0" applyFill="1" applyBorder="1" applyAlignment="1">
      <alignment horizontal="center"/>
    </xf>
    <xf numFmtId="0" fontId="0" fillId="8" borderId="18" xfId="0" applyFill="1" applyBorder="1" applyAlignment="1">
      <alignment horizontal="center"/>
    </xf>
    <xf numFmtId="0" fontId="0" fillId="12" borderId="14" xfId="0" applyFill="1" applyBorder="1" applyAlignment="1">
      <alignment horizontal="center" vertical="center"/>
    </xf>
    <xf numFmtId="0" fontId="0" fillId="12" borderId="18" xfId="0" applyFill="1" applyBorder="1" applyAlignment="1">
      <alignment horizontal="center" vertical="center"/>
    </xf>
    <xf numFmtId="0" fontId="0" fillId="12" borderId="15" xfId="0" applyFill="1" applyBorder="1" applyAlignment="1">
      <alignment horizontal="center" vertical="center"/>
    </xf>
    <xf numFmtId="0" fontId="0" fillId="8" borderId="15" xfId="0" applyFill="1" applyBorder="1" applyAlignment="1">
      <alignment horizontal="center"/>
    </xf>
    <xf numFmtId="0" fontId="0" fillId="12" borderId="14" xfId="0" applyFill="1" applyBorder="1" applyAlignment="1">
      <alignment horizontal="center"/>
    </xf>
    <xf numFmtId="0" fontId="0" fillId="12" borderId="15" xfId="0" applyFill="1" applyBorder="1" applyAlignment="1">
      <alignment horizontal="center"/>
    </xf>
    <xf numFmtId="0" fontId="0" fillId="7" borderId="14" xfId="0" applyFill="1" applyBorder="1" applyAlignment="1">
      <alignment horizontal="center"/>
    </xf>
    <xf numFmtId="0" fontId="0" fillId="7" borderId="18" xfId="0" applyFill="1" applyBorder="1" applyAlignment="1">
      <alignment horizontal="center"/>
    </xf>
    <xf numFmtId="0" fontId="0" fillId="7" borderId="15" xfId="0" applyFill="1" applyBorder="1" applyAlignment="1">
      <alignment horizontal="center"/>
    </xf>
    <xf numFmtId="0" fontId="0" fillId="0" borderId="22" xfId="0" applyBorder="1" applyAlignment="1">
      <alignment horizontal="center" vertical="center"/>
    </xf>
    <xf numFmtId="0" fontId="0" fillId="0" borderId="17" xfId="0" applyBorder="1" applyAlignment="1">
      <alignment horizontal="center" vertical="center"/>
    </xf>
    <xf numFmtId="0" fontId="0" fillId="7" borderId="2" xfId="0" applyFill="1" applyBorder="1" applyAlignment="1">
      <alignment horizontal="center"/>
    </xf>
    <xf numFmtId="0" fontId="0" fillId="4" borderId="6" xfId="0" applyFill="1" applyBorder="1" applyAlignment="1">
      <alignment horizontal="center" vertical="center" wrapText="1"/>
    </xf>
    <xf numFmtId="0" fontId="0" fillId="0" borderId="0" xfId="0" applyAlignment="1">
      <alignment horizontal="center" vertical="center"/>
    </xf>
    <xf numFmtId="0" fontId="1" fillId="0" borderId="14" xfId="0" applyFont="1" applyBorder="1" applyAlignment="1">
      <alignment horizontal="center" vertical="center"/>
    </xf>
    <xf numFmtId="0" fontId="1" fillId="0" borderId="18" xfId="0" applyFont="1" applyBorder="1" applyAlignment="1">
      <alignment horizontal="center" vertical="center"/>
    </xf>
    <xf numFmtId="0" fontId="1" fillId="0" borderId="15" xfId="0" applyFont="1" applyBorder="1" applyAlignment="1">
      <alignment horizontal="center" vertical="center"/>
    </xf>
    <xf numFmtId="0" fontId="1" fillId="0" borderId="18"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4" xfId="0" applyFont="1" applyBorder="1" applyAlignment="1">
      <alignment horizontal="center"/>
    </xf>
    <xf numFmtId="0" fontId="1" fillId="0" borderId="24" xfId="0" applyFont="1" applyBorder="1" applyAlignment="1">
      <alignment horizontal="center"/>
    </xf>
    <xf numFmtId="0" fontId="1" fillId="0" borderId="5" xfId="0" applyFont="1" applyBorder="1" applyAlignment="1">
      <alignment horizontal="center"/>
    </xf>
    <xf numFmtId="0" fontId="1" fillId="0" borderId="14" xfId="0" applyFont="1" applyBorder="1" applyAlignment="1">
      <alignment horizontal="center"/>
    </xf>
    <xf numFmtId="0" fontId="1" fillId="0" borderId="18" xfId="0" applyFont="1" applyBorder="1" applyAlignment="1">
      <alignment horizontal="center"/>
    </xf>
    <xf numFmtId="0" fontId="1" fillId="0" borderId="15" xfId="0" applyFont="1" applyBorder="1" applyAlignment="1">
      <alignment horizontal="center"/>
    </xf>
    <xf numFmtId="0" fontId="1" fillId="0" borderId="22" xfId="0" applyFont="1" applyBorder="1" applyAlignment="1">
      <alignment horizontal="center"/>
    </xf>
    <xf numFmtId="0" fontId="1" fillId="0" borderId="23" xfId="0" applyFont="1" applyBorder="1" applyAlignment="1">
      <alignment horizontal="center"/>
    </xf>
    <xf numFmtId="0" fontId="1" fillId="0" borderId="27" xfId="0" applyFont="1" applyBorder="1" applyAlignment="1">
      <alignment horizontal="center"/>
    </xf>
    <xf numFmtId="0" fontId="0" fillId="0" borderId="28" xfId="0" applyBorder="1" applyAlignment="1">
      <alignment horizontal="right"/>
    </xf>
    <xf numFmtId="0" fontId="0" fillId="0" borderId="29" xfId="0" applyBorder="1" applyAlignment="1">
      <alignment horizontal="right"/>
    </xf>
    <xf numFmtId="0" fontId="0" fillId="0" borderId="31" xfId="0" applyBorder="1" applyAlignment="1">
      <alignment horizontal="right"/>
    </xf>
    <xf numFmtId="0" fontId="0" fillId="0" borderId="1" xfId="0" applyBorder="1" applyAlignment="1">
      <alignment horizontal="right"/>
    </xf>
    <xf numFmtId="0" fontId="7" fillId="0" borderId="1" xfId="0" applyFont="1" applyBorder="1" applyAlignment="1">
      <alignment horizontal="right"/>
    </xf>
    <xf numFmtId="0" fontId="7" fillId="0" borderId="32" xfId="0" applyFont="1" applyBorder="1" applyAlignment="1">
      <alignment horizontal="right"/>
    </xf>
    <xf numFmtId="0" fontId="0" fillId="12" borderId="18" xfId="0" applyFill="1" applyBorder="1" applyAlignment="1">
      <alignment horizontal="center"/>
    </xf>
    <xf numFmtId="0" fontId="11" fillId="7" borderId="14" xfId="2" applyFont="1" applyFill="1" applyBorder="1" applyAlignment="1">
      <alignment horizontal="center"/>
    </xf>
    <xf numFmtId="0" fontId="11" fillId="7" borderId="15" xfId="2" applyFont="1" applyFill="1" applyBorder="1" applyAlignment="1">
      <alignment horizontal="center"/>
    </xf>
    <xf numFmtId="0" fontId="0" fillId="12" borderId="1" xfId="0" applyFill="1" applyBorder="1" applyAlignment="1">
      <alignment horizontal="center"/>
    </xf>
    <xf numFmtId="0" fontId="0" fillId="0" borderId="41" xfId="0" applyBorder="1" applyAlignment="1">
      <alignment horizontal="right"/>
    </xf>
    <xf numFmtId="0" fontId="0" fillId="0" borderId="42" xfId="0" applyBorder="1" applyAlignment="1">
      <alignment horizontal="right"/>
    </xf>
    <xf numFmtId="0" fontId="0" fillId="0" borderId="43" xfId="0" applyBorder="1" applyAlignment="1">
      <alignment horizontal="right"/>
    </xf>
    <xf numFmtId="0" fontId="17" fillId="11" borderId="0" xfId="0" applyFont="1" applyFill="1" applyAlignment="1">
      <alignment horizontal="center"/>
    </xf>
    <xf numFmtId="0" fontId="17" fillId="11" borderId="24" xfId="0" applyFont="1" applyFill="1" applyBorder="1" applyAlignment="1">
      <alignment horizontal="center"/>
    </xf>
    <xf numFmtId="0" fontId="0" fillId="8" borderId="1" xfId="0" applyFill="1" applyBorder="1" applyAlignment="1">
      <alignment horizontal="center"/>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1" fillId="0" borderId="27" xfId="0" applyFont="1" applyBorder="1" applyAlignment="1">
      <alignment horizontal="center" vertical="center"/>
    </xf>
    <xf numFmtId="0" fontId="7" fillId="0" borderId="31" xfId="0" applyFont="1" applyBorder="1" applyAlignment="1">
      <alignment horizontal="right"/>
    </xf>
    <xf numFmtId="0" fontId="7" fillId="0" borderId="17" xfId="0" applyFont="1" applyBorder="1" applyAlignment="1">
      <alignment horizontal="right"/>
    </xf>
    <xf numFmtId="0" fontId="7" fillId="0" borderId="37" xfId="0" applyFont="1" applyBorder="1" applyAlignment="1">
      <alignment horizontal="right"/>
    </xf>
    <xf numFmtId="0" fontId="7" fillId="0" borderId="38" xfId="0" applyFont="1" applyBorder="1" applyAlignment="1">
      <alignment horizontal="right"/>
    </xf>
    <xf numFmtId="0" fontId="0" fillId="0" borderId="30" xfId="0" applyBorder="1" applyAlignment="1">
      <alignment horizontal="right"/>
    </xf>
    <xf numFmtId="0" fontId="6" fillId="0" borderId="31" xfId="0" applyFont="1" applyBorder="1" applyAlignment="1">
      <alignment horizontal="right"/>
    </xf>
    <xf numFmtId="0" fontId="6" fillId="0" borderId="1" xfId="0" applyFont="1" applyBorder="1" applyAlignment="1">
      <alignment horizontal="right"/>
    </xf>
    <xf numFmtId="0" fontId="38" fillId="0" borderId="1" xfId="0" applyFont="1" applyBorder="1" applyAlignment="1">
      <alignment horizontal="right"/>
    </xf>
    <xf numFmtId="0" fontId="38" fillId="0" borderId="32" xfId="0" applyFont="1" applyBorder="1" applyAlignment="1">
      <alignment horizontal="right"/>
    </xf>
    <xf numFmtId="0" fontId="6" fillId="0" borderId="41" xfId="0" applyFont="1" applyBorder="1" applyAlignment="1">
      <alignment horizontal="right"/>
    </xf>
    <xf numFmtId="0" fontId="6" fillId="0" borderId="42" xfId="0" applyFont="1" applyBorder="1" applyAlignment="1">
      <alignment horizontal="right"/>
    </xf>
    <xf numFmtId="0" fontId="6" fillId="0" borderId="43" xfId="0" applyFont="1" applyBorder="1" applyAlignment="1">
      <alignment horizontal="right"/>
    </xf>
    <xf numFmtId="0" fontId="24" fillId="0" borderId="0" xfId="0" applyFont="1" applyAlignment="1">
      <alignment horizontal="center" vertical="top" wrapText="1"/>
    </xf>
    <xf numFmtId="0" fontId="22" fillId="0" borderId="22" xfId="0" applyFont="1" applyBorder="1" applyAlignment="1">
      <alignment horizontal="center"/>
    </xf>
    <xf numFmtId="0" fontId="22" fillId="0" borderId="23" xfId="0" applyFont="1" applyBorder="1" applyAlignment="1">
      <alignment horizontal="center"/>
    </xf>
    <xf numFmtId="0" fontId="22" fillId="0" borderId="27" xfId="0" applyFont="1" applyBorder="1" applyAlignment="1">
      <alignment horizontal="center"/>
    </xf>
    <xf numFmtId="0" fontId="6" fillId="0" borderId="28" xfId="0" applyFont="1" applyBorder="1" applyAlignment="1">
      <alignment horizontal="right"/>
    </xf>
    <xf numFmtId="0" fontId="6" fillId="0" borderId="29" xfId="0" applyFont="1" applyBorder="1" applyAlignment="1">
      <alignment horizontal="right"/>
    </xf>
    <xf numFmtId="0" fontId="6" fillId="0" borderId="30" xfId="0" applyFont="1" applyBorder="1" applyAlignment="1">
      <alignment horizontal="right"/>
    </xf>
  </cellXfs>
  <cellStyles count="3">
    <cellStyle name="Hipervínculo" xfId="1" builtinId="8"/>
    <cellStyle name="Incorrecto" xfId="2" builtinId="2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PRICE COMPARATOR</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'Results - Tables'!$BR$112:$BR$113</c:f>
              <c:strCache>
                <c:ptCount val="2"/>
                <c:pt idx="1">
                  <c:v>Concrete and bricks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'Results - Tables'!$BQ$114:$BQ$118</c:f>
              <c:strCache>
                <c:ptCount val="5"/>
                <c:pt idx="0">
                  <c:v>Foundations</c:v>
                </c:pt>
                <c:pt idx="1">
                  <c:v>Structural Elements</c:v>
                </c:pt>
                <c:pt idx="2">
                  <c:v>Non-Load Bearing Elements</c:v>
                </c:pt>
                <c:pt idx="3">
                  <c:v>Fecades</c:v>
                </c:pt>
                <c:pt idx="4">
                  <c:v>Roofs</c:v>
                </c:pt>
              </c:strCache>
            </c:strRef>
          </c:cat>
          <c:val>
            <c:numRef>
              <c:f>'Results - Tables'!$BR$114:$BR$118</c:f>
              <c:numCache>
                <c:formatCode>0.00</c:formatCode>
                <c:ptCount val="5"/>
                <c:pt idx="0">
                  <c:v>16019.91012</c:v>
                </c:pt>
                <c:pt idx="1">
                  <c:v>48981.070699999997</c:v>
                </c:pt>
                <c:pt idx="2">
                  <c:v>49141.106065246509</c:v>
                </c:pt>
                <c:pt idx="3">
                  <c:v>76016.46362617251</c:v>
                </c:pt>
                <c:pt idx="4">
                  <c:v>22345.175722452772</c:v>
                </c:pt>
              </c:numCache>
            </c:numRef>
          </c:val>
          <c:extLst>
            <c:ext xmlns:c16="http://schemas.microsoft.com/office/drawing/2014/chart" uri="{C3380CC4-5D6E-409C-BE32-E72D297353CC}">
              <c16:uniqueId val="{00000000-A319-406D-8415-51F333A8FE45}"/>
            </c:ext>
          </c:extLst>
        </c:ser>
        <c:ser>
          <c:idx val="1"/>
          <c:order val="1"/>
          <c:tx>
            <c:strRef>
              <c:f>'Results - Tables'!$BS$112:$BS$113</c:f>
              <c:strCache>
                <c:ptCount val="2"/>
                <c:pt idx="1">
                  <c:v>Steel and bricks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'Results - Tables'!$BQ$114:$BQ$118</c:f>
              <c:strCache>
                <c:ptCount val="5"/>
                <c:pt idx="0">
                  <c:v>Foundations</c:v>
                </c:pt>
                <c:pt idx="1">
                  <c:v>Structural Elements</c:v>
                </c:pt>
                <c:pt idx="2">
                  <c:v>Non-Load Bearing Elements</c:v>
                </c:pt>
                <c:pt idx="3">
                  <c:v>Fecades</c:v>
                </c:pt>
                <c:pt idx="4">
                  <c:v>Roofs</c:v>
                </c:pt>
              </c:strCache>
            </c:strRef>
          </c:cat>
          <c:val>
            <c:numRef>
              <c:f>'Results - Tables'!$BS$114:$BS$118</c:f>
              <c:numCache>
                <c:formatCode>General</c:formatCode>
                <c:ptCount val="5"/>
                <c:pt idx="0">
                  <c:v>9336.77</c:v>
                </c:pt>
                <c:pt idx="1">
                  <c:v>170393.88</c:v>
                </c:pt>
                <c:pt idx="2">
                  <c:v>48344.52</c:v>
                </c:pt>
                <c:pt idx="3">
                  <c:v>76016.460000000006</c:v>
                </c:pt>
                <c:pt idx="4">
                  <c:v>19907.13</c:v>
                </c:pt>
              </c:numCache>
            </c:numRef>
          </c:val>
          <c:extLst>
            <c:ext xmlns:c16="http://schemas.microsoft.com/office/drawing/2014/chart" uri="{C3380CC4-5D6E-409C-BE32-E72D297353CC}">
              <c16:uniqueId val="{00000001-A319-406D-8415-51F333A8FE45}"/>
            </c:ext>
          </c:extLst>
        </c:ser>
        <c:ser>
          <c:idx val="2"/>
          <c:order val="2"/>
          <c:tx>
            <c:strRef>
              <c:f>'Results - Tables'!$BT$112:$BT$113</c:f>
              <c:strCache>
                <c:ptCount val="2"/>
                <c:pt idx="1">
                  <c:v>Timber</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'Results - Tables'!$BQ$114:$BQ$118</c:f>
              <c:strCache>
                <c:ptCount val="5"/>
                <c:pt idx="0">
                  <c:v>Foundations</c:v>
                </c:pt>
                <c:pt idx="1">
                  <c:v>Structural Elements</c:v>
                </c:pt>
                <c:pt idx="2">
                  <c:v>Non-Load Bearing Elements</c:v>
                </c:pt>
                <c:pt idx="3">
                  <c:v>Fecades</c:v>
                </c:pt>
                <c:pt idx="4">
                  <c:v>Roofs</c:v>
                </c:pt>
              </c:strCache>
            </c:strRef>
          </c:cat>
          <c:val>
            <c:numRef>
              <c:f>'Results - Tables'!$BT$114:$BT$118</c:f>
              <c:numCache>
                <c:formatCode>General</c:formatCode>
                <c:ptCount val="5"/>
                <c:pt idx="0">
                  <c:v>7188.46</c:v>
                </c:pt>
                <c:pt idx="1">
                  <c:v>86604.36</c:v>
                </c:pt>
                <c:pt idx="2">
                  <c:v>109581.07</c:v>
                </c:pt>
                <c:pt idx="3">
                  <c:v>111899.22</c:v>
                </c:pt>
                <c:pt idx="4">
                  <c:v>19647.87</c:v>
                </c:pt>
              </c:numCache>
            </c:numRef>
          </c:val>
          <c:extLst>
            <c:ext xmlns:c16="http://schemas.microsoft.com/office/drawing/2014/chart" uri="{C3380CC4-5D6E-409C-BE32-E72D297353CC}">
              <c16:uniqueId val="{00000002-A319-406D-8415-51F333A8FE45}"/>
            </c:ext>
          </c:extLst>
        </c:ser>
        <c:dLbls>
          <c:showLegendKey val="0"/>
          <c:showVal val="0"/>
          <c:showCatName val="0"/>
          <c:showSerName val="0"/>
          <c:showPercent val="0"/>
          <c:showBubbleSize val="0"/>
        </c:dLbls>
        <c:gapWidth val="100"/>
        <c:overlap val="-24"/>
        <c:axId val="681484431"/>
        <c:axId val="681495247"/>
      </c:barChart>
      <c:catAx>
        <c:axId val="681484431"/>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81495247"/>
        <c:crosses val="autoZero"/>
        <c:auto val="1"/>
        <c:lblAlgn val="ctr"/>
        <c:lblOffset val="100"/>
        <c:noMultiLvlLbl val="0"/>
      </c:catAx>
      <c:valAx>
        <c:axId val="681495247"/>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s-ES"/>
                  <a:t>EUROS</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81484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ENVIROMENTAL IMPACT</a:t>
            </a:r>
            <a:r>
              <a:rPr lang="es-ES" baseline="0"/>
              <a:t> (GWP)</a:t>
            </a:r>
            <a:r>
              <a:rPr lang="es-ES"/>
              <a:t> PER AREA A1-A3</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v>Foundations</c:v>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Tables'!$S$37</c:f>
              <c:numCache>
                <c:formatCode>0.0000</c:formatCode>
                <c:ptCount val="1"/>
                <c:pt idx="0">
                  <c:v>21370.632626999999</c:v>
                </c:pt>
              </c:numCache>
            </c:numRef>
          </c:val>
          <c:extLst>
            <c:ext xmlns:c16="http://schemas.microsoft.com/office/drawing/2014/chart" uri="{C3380CC4-5D6E-409C-BE32-E72D297353CC}">
              <c16:uniqueId val="{00000000-834C-42E4-8CE2-DDEA7A9FF71E}"/>
            </c:ext>
          </c:extLst>
        </c:ser>
        <c:ser>
          <c:idx val="1"/>
          <c:order val="1"/>
          <c:tx>
            <c:v>Structural Elements</c:v>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Tables'!$S$64</c:f>
              <c:numCache>
                <c:formatCode>0.0000</c:formatCode>
                <c:ptCount val="1"/>
                <c:pt idx="0">
                  <c:v>33643.851479999998</c:v>
                </c:pt>
              </c:numCache>
            </c:numRef>
          </c:val>
          <c:extLst>
            <c:ext xmlns:c16="http://schemas.microsoft.com/office/drawing/2014/chart" uri="{C3380CC4-5D6E-409C-BE32-E72D297353CC}">
              <c16:uniqueId val="{00000001-834C-42E4-8CE2-DDEA7A9FF71E}"/>
            </c:ext>
          </c:extLst>
        </c:ser>
        <c:ser>
          <c:idx val="2"/>
          <c:order val="2"/>
          <c:tx>
            <c:v>Non-Load Bearing Elements</c:v>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Tables'!$S$108</c:f>
              <c:numCache>
                <c:formatCode>0.0000</c:formatCode>
                <c:ptCount val="1"/>
                <c:pt idx="0">
                  <c:v>35018.236010735367</c:v>
                </c:pt>
              </c:numCache>
            </c:numRef>
          </c:val>
          <c:extLst>
            <c:ext xmlns:c16="http://schemas.microsoft.com/office/drawing/2014/chart" uri="{C3380CC4-5D6E-409C-BE32-E72D297353CC}">
              <c16:uniqueId val="{00000002-834C-42E4-8CE2-DDEA7A9FF71E}"/>
            </c:ext>
          </c:extLst>
        </c:ser>
        <c:ser>
          <c:idx val="3"/>
          <c:order val="3"/>
          <c:tx>
            <c:v>Fecades</c:v>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Tables'!$S$126</c:f>
              <c:numCache>
                <c:formatCode>0.0000</c:formatCode>
                <c:ptCount val="1"/>
                <c:pt idx="0">
                  <c:v>45928.679140284359</c:v>
                </c:pt>
              </c:numCache>
            </c:numRef>
          </c:val>
          <c:extLst>
            <c:ext xmlns:c16="http://schemas.microsoft.com/office/drawing/2014/chart" uri="{C3380CC4-5D6E-409C-BE32-E72D297353CC}">
              <c16:uniqueId val="{00000003-834C-42E4-8CE2-DDEA7A9FF71E}"/>
            </c:ext>
          </c:extLst>
        </c:ser>
        <c:ser>
          <c:idx val="4"/>
          <c:order val="4"/>
          <c:tx>
            <c:v>Roofs</c:v>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Tables'!$S$140</c:f>
              <c:numCache>
                <c:formatCode>0.0000</c:formatCode>
                <c:ptCount val="1"/>
                <c:pt idx="0">
                  <c:v>12688.680576023826</c:v>
                </c:pt>
              </c:numCache>
            </c:numRef>
          </c:val>
          <c:extLst>
            <c:ext xmlns:c16="http://schemas.microsoft.com/office/drawing/2014/chart" uri="{C3380CC4-5D6E-409C-BE32-E72D297353CC}">
              <c16:uniqueId val="{00000004-834C-42E4-8CE2-DDEA7A9FF71E}"/>
            </c:ext>
          </c:extLst>
        </c:ser>
        <c:dLbls>
          <c:dLblPos val="inEnd"/>
          <c:showLegendKey val="0"/>
          <c:showVal val="1"/>
          <c:showCatName val="0"/>
          <c:showSerName val="0"/>
          <c:showPercent val="0"/>
          <c:showBubbleSize val="0"/>
        </c:dLbls>
        <c:gapWidth val="65"/>
        <c:axId val="2051612144"/>
        <c:axId val="2051600080"/>
      </c:barChart>
      <c:catAx>
        <c:axId val="2051612144"/>
        <c:scaling>
          <c:orientation val="minMax"/>
        </c:scaling>
        <c:delete val="1"/>
        <c:axPos val="b"/>
        <c:numFmt formatCode="General" sourceLinked="1"/>
        <c:majorTickMark val="none"/>
        <c:minorTickMark val="none"/>
        <c:tickLblPos val="nextTo"/>
        <c:crossAx val="2051600080"/>
        <c:crosses val="autoZero"/>
        <c:auto val="1"/>
        <c:lblAlgn val="ctr"/>
        <c:lblOffset val="100"/>
        <c:noMultiLvlLbl val="0"/>
      </c:catAx>
      <c:valAx>
        <c:axId val="205160008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ES"/>
                  <a:t>(kg CO2-eq)</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051612144"/>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sz="1800" b="1" i="0" baseline="0">
                <a:effectLst/>
              </a:rPr>
              <a:t>ENERGY CONSUMPTION (PERT A1-A3)  PER M2 AND YEAR</a:t>
            </a:r>
            <a:endParaRPr lang="es-ES">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1"/>
          <c:order val="0"/>
          <c:tx>
            <c:v>Foundations</c:v>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Tables'!$AO$37</c:f>
              <c:numCache>
                <c:formatCode>0.0000</c:formatCode>
                <c:ptCount val="1"/>
                <c:pt idx="0">
                  <c:v>1.4836307474370922</c:v>
                </c:pt>
              </c:numCache>
            </c:numRef>
          </c:val>
          <c:extLst>
            <c:ext xmlns:c16="http://schemas.microsoft.com/office/drawing/2014/chart" uri="{C3380CC4-5D6E-409C-BE32-E72D297353CC}">
              <c16:uniqueId val="{00000000-4CCE-4F21-AA16-8312139EF8CD}"/>
            </c:ext>
          </c:extLst>
        </c:ser>
        <c:ser>
          <c:idx val="2"/>
          <c:order val="1"/>
          <c:tx>
            <c:v>Structural Elements</c:v>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Tables'!$AO$64</c:f>
              <c:numCache>
                <c:formatCode>0.0000</c:formatCode>
                <c:ptCount val="1"/>
                <c:pt idx="0">
                  <c:v>2.8141903665734698</c:v>
                </c:pt>
              </c:numCache>
            </c:numRef>
          </c:val>
          <c:extLst>
            <c:ext xmlns:c16="http://schemas.microsoft.com/office/drawing/2014/chart" uri="{C3380CC4-5D6E-409C-BE32-E72D297353CC}">
              <c16:uniqueId val="{00000001-4CCE-4F21-AA16-8312139EF8CD}"/>
            </c:ext>
          </c:extLst>
        </c:ser>
        <c:ser>
          <c:idx val="3"/>
          <c:order val="2"/>
          <c:tx>
            <c:v>Non-Load Bearing Elements</c:v>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Tables'!$AO$108</c:f>
              <c:numCache>
                <c:formatCode>0.0000</c:formatCode>
                <c:ptCount val="1"/>
                <c:pt idx="0">
                  <c:v>4.0006946310057891</c:v>
                </c:pt>
              </c:numCache>
            </c:numRef>
          </c:val>
          <c:extLst>
            <c:ext xmlns:c16="http://schemas.microsoft.com/office/drawing/2014/chart" uri="{C3380CC4-5D6E-409C-BE32-E72D297353CC}">
              <c16:uniqueId val="{00000002-4CCE-4F21-AA16-8312139EF8CD}"/>
            </c:ext>
          </c:extLst>
        </c:ser>
        <c:ser>
          <c:idx val="4"/>
          <c:order val="3"/>
          <c:tx>
            <c:v>Fecades</c:v>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Tables'!$AO$126</c:f>
              <c:numCache>
                <c:formatCode>0.0000</c:formatCode>
                <c:ptCount val="1"/>
                <c:pt idx="0">
                  <c:v>4.3255175425256658</c:v>
                </c:pt>
              </c:numCache>
            </c:numRef>
          </c:val>
          <c:extLst>
            <c:ext xmlns:c16="http://schemas.microsoft.com/office/drawing/2014/chart" uri="{C3380CC4-5D6E-409C-BE32-E72D297353CC}">
              <c16:uniqueId val="{00000003-4CCE-4F21-AA16-8312139EF8CD}"/>
            </c:ext>
          </c:extLst>
        </c:ser>
        <c:ser>
          <c:idx val="5"/>
          <c:order val="4"/>
          <c:tx>
            <c:v>Roofs</c:v>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Tables'!$AO$140</c:f>
              <c:numCache>
                <c:formatCode>0.0000</c:formatCode>
                <c:ptCount val="1"/>
                <c:pt idx="0">
                  <c:v>1.9091144627028351</c:v>
                </c:pt>
              </c:numCache>
            </c:numRef>
          </c:val>
          <c:extLst>
            <c:ext xmlns:c16="http://schemas.microsoft.com/office/drawing/2014/chart" uri="{C3380CC4-5D6E-409C-BE32-E72D297353CC}">
              <c16:uniqueId val="{00000004-4CCE-4F21-AA16-8312139EF8CD}"/>
            </c:ext>
          </c:extLst>
        </c:ser>
        <c:dLbls>
          <c:dLblPos val="inEnd"/>
          <c:showLegendKey val="0"/>
          <c:showVal val="1"/>
          <c:showCatName val="0"/>
          <c:showSerName val="0"/>
          <c:showPercent val="0"/>
          <c:showBubbleSize val="0"/>
        </c:dLbls>
        <c:gapWidth val="65"/>
        <c:axId val="95089952"/>
        <c:axId val="95091616"/>
      </c:barChart>
      <c:catAx>
        <c:axId val="95089952"/>
        <c:scaling>
          <c:orientation val="minMax"/>
        </c:scaling>
        <c:delete val="1"/>
        <c:axPos val="b"/>
        <c:majorTickMark val="none"/>
        <c:minorTickMark val="none"/>
        <c:tickLblPos val="nextTo"/>
        <c:crossAx val="95091616"/>
        <c:crosses val="autoZero"/>
        <c:auto val="1"/>
        <c:lblAlgn val="ctr"/>
        <c:lblOffset val="100"/>
        <c:noMultiLvlLbl val="0"/>
      </c:catAx>
      <c:valAx>
        <c:axId val="9509161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ES" sz="1100" baseline="0"/>
                  <a:t>(MJ/m2/yr)</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title>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9508995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sz="1800" b="1" i="0" baseline="0">
                <a:effectLst/>
              </a:rPr>
              <a:t>ENERGY CONSUMPTION(PENRT A1-A3)  PER M2 AND YEAR</a:t>
            </a:r>
            <a:endParaRPr lang="es-ES">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1"/>
          <c:order val="0"/>
          <c:tx>
            <c:v>Foundations</c:v>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Tables'!$AP$37</c:f>
              <c:numCache>
                <c:formatCode>0.0000</c:formatCode>
                <c:ptCount val="1"/>
                <c:pt idx="0">
                  <c:v>9.9561443068499536</c:v>
                </c:pt>
              </c:numCache>
            </c:numRef>
          </c:val>
          <c:extLst>
            <c:ext xmlns:c16="http://schemas.microsoft.com/office/drawing/2014/chart" uri="{C3380CC4-5D6E-409C-BE32-E72D297353CC}">
              <c16:uniqueId val="{00000000-8B94-4537-814B-120EFA4652A8}"/>
            </c:ext>
          </c:extLst>
        </c:ser>
        <c:ser>
          <c:idx val="2"/>
          <c:order val="1"/>
          <c:tx>
            <c:v>Structural Elements</c:v>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Tables'!$AP$64</c:f>
              <c:numCache>
                <c:formatCode>0.0000</c:formatCode>
                <c:ptCount val="1"/>
                <c:pt idx="0">
                  <c:v>16.897796427461945</c:v>
                </c:pt>
              </c:numCache>
            </c:numRef>
          </c:val>
          <c:extLst>
            <c:ext xmlns:c16="http://schemas.microsoft.com/office/drawing/2014/chart" uri="{C3380CC4-5D6E-409C-BE32-E72D297353CC}">
              <c16:uniqueId val="{00000001-8B94-4537-814B-120EFA4652A8}"/>
            </c:ext>
          </c:extLst>
        </c:ser>
        <c:ser>
          <c:idx val="3"/>
          <c:order val="2"/>
          <c:tx>
            <c:v>Non-Load Bearing Elements</c:v>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Tables'!$AP$108</c:f>
              <c:numCache>
                <c:formatCode>0.0000</c:formatCode>
                <c:ptCount val="1"/>
                <c:pt idx="0">
                  <c:v>32.839667429403825</c:v>
                </c:pt>
              </c:numCache>
            </c:numRef>
          </c:val>
          <c:extLst>
            <c:ext xmlns:c16="http://schemas.microsoft.com/office/drawing/2014/chart" uri="{C3380CC4-5D6E-409C-BE32-E72D297353CC}">
              <c16:uniqueId val="{00000002-8B94-4537-814B-120EFA4652A8}"/>
            </c:ext>
          </c:extLst>
        </c:ser>
        <c:ser>
          <c:idx val="4"/>
          <c:order val="3"/>
          <c:tx>
            <c:v>Fecades</c:v>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Tables'!$AP$126</c:f>
              <c:numCache>
                <c:formatCode>0.0000</c:formatCode>
                <c:ptCount val="1"/>
                <c:pt idx="0">
                  <c:v>34.195285876362888</c:v>
                </c:pt>
              </c:numCache>
            </c:numRef>
          </c:val>
          <c:extLst>
            <c:ext xmlns:c16="http://schemas.microsoft.com/office/drawing/2014/chart" uri="{C3380CC4-5D6E-409C-BE32-E72D297353CC}">
              <c16:uniqueId val="{00000003-8B94-4537-814B-120EFA4652A8}"/>
            </c:ext>
          </c:extLst>
        </c:ser>
        <c:ser>
          <c:idx val="5"/>
          <c:order val="4"/>
          <c:tx>
            <c:v>Roofs</c:v>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Tables'!$AP$140</c:f>
              <c:numCache>
                <c:formatCode>0.0000</c:formatCode>
                <c:ptCount val="1"/>
                <c:pt idx="0">
                  <c:v>15.802309935395838</c:v>
                </c:pt>
              </c:numCache>
            </c:numRef>
          </c:val>
          <c:extLst>
            <c:ext xmlns:c16="http://schemas.microsoft.com/office/drawing/2014/chart" uri="{C3380CC4-5D6E-409C-BE32-E72D297353CC}">
              <c16:uniqueId val="{00000004-8B94-4537-814B-120EFA4652A8}"/>
            </c:ext>
          </c:extLst>
        </c:ser>
        <c:dLbls>
          <c:dLblPos val="inEnd"/>
          <c:showLegendKey val="0"/>
          <c:showVal val="1"/>
          <c:showCatName val="0"/>
          <c:showSerName val="0"/>
          <c:showPercent val="0"/>
          <c:showBubbleSize val="0"/>
        </c:dLbls>
        <c:gapWidth val="65"/>
        <c:axId val="95089952"/>
        <c:axId val="95091616"/>
      </c:barChart>
      <c:catAx>
        <c:axId val="95089952"/>
        <c:scaling>
          <c:orientation val="minMax"/>
        </c:scaling>
        <c:delete val="1"/>
        <c:axPos val="b"/>
        <c:majorTickMark val="none"/>
        <c:minorTickMark val="none"/>
        <c:tickLblPos val="nextTo"/>
        <c:crossAx val="95091616"/>
        <c:crosses val="autoZero"/>
        <c:auto val="1"/>
        <c:lblAlgn val="ctr"/>
        <c:lblOffset val="100"/>
        <c:noMultiLvlLbl val="0"/>
      </c:catAx>
      <c:valAx>
        <c:axId val="9509161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ES" sz="1100" baseline="0"/>
                  <a:t>(MJ/m2/yr)</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title>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9508995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r>
              <a:rPr lang="es-ES"/>
              <a:t>TOTAL ENERGY CONSUMPTION A1-A5 PER M2 AND YEAR</a:t>
            </a:r>
          </a:p>
        </c:rich>
      </c:tx>
      <c:overlay val="0"/>
      <c:spPr>
        <a:noFill/>
        <a:ln>
          <a:noFill/>
        </a:ln>
        <a:effectLst/>
      </c:spPr>
      <c:txPr>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endParaRPr lang="en-US"/>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PERT A1-A3</c:v>
          </c:tx>
          <c:spPr>
            <a:solidFill>
              <a:schemeClr val="accent1">
                <a:alpha val="88000"/>
              </a:schemeClr>
            </a:solidFill>
            <a:ln>
              <a:solidFill>
                <a:schemeClr val="accent1">
                  <a:lumMod val="50000"/>
                </a:schemeClr>
              </a:solidFill>
            </a:ln>
            <a:effectLst/>
            <a:scene3d>
              <a:camera prst="orthographicFront"/>
              <a:lightRig rig="threePt" dir="t"/>
            </a:scene3d>
            <a:sp3d prstMaterial="flat">
              <a:contourClr>
                <a:schemeClr val="accent1">
                  <a:lumMod val="50000"/>
                </a:schemeClr>
              </a:contourClr>
            </a:sp3d>
          </c:spPr>
          <c:invertIfNegative val="0"/>
          <c:dLbls>
            <c:spPr>
              <a:solidFill>
                <a:schemeClr val="accent1">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Tables'!$AO$141</c:f>
              <c:numCache>
                <c:formatCode>0.0000</c:formatCode>
                <c:ptCount val="1"/>
                <c:pt idx="0">
                  <c:v>12.624033287542016</c:v>
                </c:pt>
              </c:numCache>
            </c:numRef>
          </c:val>
          <c:extLst>
            <c:ext xmlns:c16="http://schemas.microsoft.com/office/drawing/2014/chart" uri="{C3380CC4-5D6E-409C-BE32-E72D297353CC}">
              <c16:uniqueId val="{00000000-6AE4-453F-84E2-02F9BC0607A6}"/>
            </c:ext>
          </c:extLst>
        </c:ser>
        <c:ser>
          <c:idx val="1"/>
          <c:order val="1"/>
          <c:tx>
            <c:v>PENRT A1-A3</c:v>
          </c:tx>
          <c:spPr>
            <a:solidFill>
              <a:schemeClr val="accent2">
                <a:alpha val="88000"/>
              </a:schemeClr>
            </a:solidFill>
            <a:ln>
              <a:solidFill>
                <a:schemeClr val="accent2">
                  <a:lumMod val="50000"/>
                </a:schemeClr>
              </a:solidFill>
            </a:ln>
            <a:effectLst/>
            <a:scene3d>
              <a:camera prst="orthographicFront"/>
              <a:lightRig rig="threePt" dir="t"/>
            </a:scene3d>
            <a:sp3d prstMaterial="flat">
              <a:contourClr>
                <a:schemeClr val="accent2">
                  <a:lumMod val="50000"/>
                </a:schemeClr>
              </a:contourClr>
            </a:sp3d>
          </c:spPr>
          <c:invertIfNegative val="0"/>
          <c:dLbls>
            <c:spPr>
              <a:solidFill>
                <a:schemeClr val="accent2">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Tables'!$AP$141</c:f>
              <c:numCache>
                <c:formatCode>0.0000</c:formatCode>
                <c:ptCount val="1"/>
                <c:pt idx="0">
                  <c:v>93.888894040078611</c:v>
                </c:pt>
              </c:numCache>
            </c:numRef>
          </c:val>
          <c:extLst>
            <c:ext xmlns:c16="http://schemas.microsoft.com/office/drawing/2014/chart" uri="{C3380CC4-5D6E-409C-BE32-E72D297353CC}">
              <c16:uniqueId val="{00000001-6AE4-453F-84E2-02F9BC0607A6}"/>
            </c:ext>
          </c:extLst>
        </c:ser>
        <c:ser>
          <c:idx val="2"/>
          <c:order val="2"/>
          <c:tx>
            <c:v>PERT A4</c:v>
          </c:tx>
          <c:spPr>
            <a:solidFill>
              <a:schemeClr val="accent3">
                <a:alpha val="88000"/>
              </a:schemeClr>
            </a:solidFill>
            <a:ln>
              <a:solidFill>
                <a:schemeClr val="accent3">
                  <a:lumMod val="50000"/>
                </a:schemeClr>
              </a:solidFill>
            </a:ln>
            <a:effectLst/>
            <a:scene3d>
              <a:camera prst="orthographicFront"/>
              <a:lightRig rig="threePt" dir="t"/>
            </a:scene3d>
            <a:sp3d prstMaterial="flat">
              <a:contourClr>
                <a:schemeClr val="accent3">
                  <a:lumMod val="50000"/>
                </a:schemeClr>
              </a:contourClr>
            </a:sp3d>
          </c:spPr>
          <c:invertIfNegative val="0"/>
          <c:dLbls>
            <c:spPr>
              <a:solidFill>
                <a:schemeClr val="accent3">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Tables'!$AQ$141</c:f>
              <c:numCache>
                <c:formatCode>0.0000</c:formatCode>
                <c:ptCount val="1"/>
                <c:pt idx="0">
                  <c:v>0.12890661344555762</c:v>
                </c:pt>
              </c:numCache>
            </c:numRef>
          </c:val>
          <c:extLst>
            <c:ext xmlns:c16="http://schemas.microsoft.com/office/drawing/2014/chart" uri="{C3380CC4-5D6E-409C-BE32-E72D297353CC}">
              <c16:uniqueId val="{00000002-6AE4-453F-84E2-02F9BC0607A6}"/>
            </c:ext>
          </c:extLst>
        </c:ser>
        <c:ser>
          <c:idx val="3"/>
          <c:order val="3"/>
          <c:tx>
            <c:v>PENRT A4</c:v>
          </c:tx>
          <c:spPr>
            <a:solidFill>
              <a:schemeClr val="accent4">
                <a:alpha val="88000"/>
              </a:schemeClr>
            </a:solidFill>
            <a:ln>
              <a:solidFill>
                <a:schemeClr val="accent4">
                  <a:lumMod val="50000"/>
                </a:schemeClr>
              </a:solidFill>
            </a:ln>
            <a:effectLst/>
            <a:scene3d>
              <a:camera prst="orthographicFront"/>
              <a:lightRig rig="threePt" dir="t"/>
            </a:scene3d>
            <a:sp3d prstMaterial="flat">
              <a:contourClr>
                <a:schemeClr val="accent4">
                  <a:lumMod val="50000"/>
                </a:schemeClr>
              </a:contourClr>
            </a:sp3d>
          </c:spPr>
          <c:invertIfNegative val="0"/>
          <c:dLbls>
            <c:spPr>
              <a:solidFill>
                <a:schemeClr val="accent4">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Tables'!$AR$141</c:f>
              <c:numCache>
                <c:formatCode>0.0000</c:formatCode>
                <c:ptCount val="1"/>
                <c:pt idx="0">
                  <c:v>3.4837310982059644</c:v>
                </c:pt>
              </c:numCache>
            </c:numRef>
          </c:val>
          <c:extLst>
            <c:ext xmlns:c16="http://schemas.microsoft.com/office/drawing/2014/chart" uri="{C3380CC4-5D6E-409C-BE32-E72D297353CC}">
              <c16:uniqueId val="{00000003-6AE4-453F-84E2-02F9BC0607A6}"/>
            </c:ext>
          </c:extLst>
        </c:ser>
        <c:ser>
          <c:idx val="4"/>
          <c:order val="4"/>
          <c:tx>
            <c:v>PERT A5</c:v>
          </c:tx>
          <c:spPr>
            <a:solidFill>
              <a:schemeClr val="accent5">
                <a:alpha val="88000"/>
              </a:schemeClr>
            </a:solidFill>
            <a:ln>
              <a:solidFill>
                <a:schemeClr val="accent5">
                  <a:lumMod val="50000"/>
                </a:schemeClr>
              </a:solidFill>
            </a:ln>
            <a:effectLst/>
            <a:scene3d>
              <a:camera prst="orthographicFront"/>
              <a:lightRig rig="threePt" dir="t"/>
            </a:scene3d>
            <a:sp3d prstMaterial="flat">
              <a:contourClr>
                <a:schemeClr val="accent5">
                  <a:lumMod val="50000"/>
                </a:schemeClr>
              </a:contourClr>
            </a:sp3d>
          </c:spPr>
          <c:invertIfNegative val="0"/>
          <c:dLbls>
            <c:spPr>
              <a:solidFill>
                <a:schemeClr val="accent5">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Tables'!$AS$141</c:f>
              <c:numCache>
                <c:formatCode>0.0000</c:formatCode>
                <c:ptCount val="1"/>
                <c:pt idx="0">
                  <c:v>0.11387553291759425</c:v>
                </c:pt>
              </c:numCache>
            </c:numRef>
          </c:val>
          <c:extLst>
            <c:ext xmlns:c16="http://schemas.microsoft.com/office/drawing/2014/chart" uri="{C3380CC4-5D6E-409C-BE32-E72D297353CC}">
              <c16:uniqueId val="{00000004-6AE4-453F-84E2-02F9BC0607A6}"/>
            </c:ext>
          </c:extLst>
        </c:ser>
        <c:ser>
          <c:idx val="5"/>
          <c:order val="5"/>
          <c:tx>
            <c:v>PENRT A5</c:v>
          </c:tx>
          <c:spPr>
            <a:solidFill>
              <a:schemeClr val="accent6">
                <a:alpha val="88000"/>
              </a:schemeClr>
            </a:solidFill>
            <a:ln>
              <a:solidFill>
                <a:schemeClr val="accent6">
                  <a:lumMod val="50000"/>
                </a:schemeClr>
              </a:solidFill>
            </a:ln>
            <a:effectLst/>
            <a:scene3d>
              <a:camera prst="orthographicFront"/>
              <a:lightRig rig="threePt" dir="t"/>
            </a:scene3d>
            <a:sp3d prstMaterial="flat">
              <a:contourClr>
                <a:schemeClr val="accent6">
                  <a:lumMod val="50000"/>
                </a:schemeClr>
              </a:contourClr>
            </a:sp3d>
          </c:spPr>
          <c:invertIfNegative val="0"/>
          <c:dLbls>
            <c:spPr>
              <a:solidFill>
                <a:schemeClr val="accent6">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Tables'!$AT$141</c:f>
              <c:numCache>
                <c:formatCode>0.0000</c:formatCode>
                <c:ptCount val="1"/>
                <c:pt idx="0">
                  <c:v>2.8380344157385089</c:v>
                </c:pt>
              </c:numCache>
            </c:numRef>
          </c:val>
          <c:extLst>
            <c:ext xmlns:c16="http://schemas.microsoft.com/office/drawing/2014/chart" uri="{C3380CC4-5D6E-409C-BE32-E72D297353CC}">
              <c16:uniqueId val="{00000005-6AE4-453F-84E2-02F9BC0607A6}"/>
            </c:ext>
          </c:extLst>
        </c:ser>
        <c:dLbls>
          <c:showLegendKey val="0"/>
          <c:showVal val="1"/>
          <c:showCatName val="0"/>
          <c:showSerName val="0"/>
          <c:showPercent val="0"/>
          <c:showBubbleSize val="0"/>
        </c:dLbls>
        <c:gapWidth val="84"/>
        <c:gapDepth val="53"/>
        <c:shape val="box"/>
        <c:axId val="2051595920"/>
        <c:axId val="2051608400"/>
        <c:axId val="0"/>
      </c:bar3DChart>
      <c:catAx>
        <c:axId val="2051595920"/>
        <c:scaling>
          <c:orientation val="minMax"/>
        </c:scaling>
        <c:delete val="1"/>
        <c:axPos val="b"/>
        <c:title>
          <c:tx>
            <c:rich>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r>
                  <a:rPr lang="es-ES"/>
                  <a:t>IMPACTS</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title>
        <c:numFmt formatCode="General" sourceLinked="1"/>
        <c:majorTickMark val="none"/>
        <c:minorTickMark val="none"/>
        <c:tickLblPos val="nextTo"/>
        <c:crossAx val="2051608400"/>
        <c:crosses val="autoZero"/>
        <c:auto val="1"/>
        <c:lblAlgn val="ctr"/>
        <c:lblOffset val="100"/>
        <c:noMultiLvlLbl val="0"/>
      </c:catAx>
      <c:valAx>
        <c:axId val="2051608400"/>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r>
                  <a:rPr lang="es-ES" sz="900" b="1" i="0" baseline="0">
                    <a:effectLst/>
                  </a:rPr>
                  <a:t>(MJ/m2/yr)</a:t>
                </a:r>
                <a:endParaRPr lang="es-ES" sz="900">
                  <a:effectLst/>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title>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515959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r>
              <a:rPr lang="es-ES"/>
              <a:t>TOTAL ENVIROMENTAL</a:t>
            </a:r>
            <a:r>
              <a:rPr lang="es-ES" baseline="0"/>
              <a:t> IMPACT GWp </a:t>
            </a:r>
            <a:r>
              <a:rPr lang="es-ES"/>
              <a:t>A1-A5 PER M2 AND YEAR</a:t>
            </a:r>
          </a:p>
        </c:rich>
      </c:tx>
      <c:overlay val="0"/>
      <c:spPr>
        <a:noFill/>
        <a:ln>
          <a:noFill/>
        </a:ln>
        <a:effectLst/>
      </c:spPr>
      <c:txPr>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endParaRPr lang="en-US"/>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3"/>
          <c:order val="0"/>
          <c:tx>
            <c:v>GWP A1-A3</c:v>
          </c:tx>
          <c:spPr>
            <a:solidFill>
              <a:schemeClr val="accent4">
                <a:alpha val="88000"/>
              </a:schemeClr>
            </a:solidFill>
            <a:ln>
              <a:solidFill>
                <a:schemeClr val="accent4">
                  <a:lumMod val="50000"/>
                </a:schemeClr>
              </a:solidFill>
            </a:ln>
            <a:effectLst/>
            <a:scene3d>
              <a:camera prst="orthographicFront"/>
              <a:lightRig rig="threePt" dir="t"/>
            </a:scene3d>
            <a:sp3d prstMaterial="flat">
              <a:contourClr>
                <a:schemeClr val="accent4">
                  <a:lumMod val="50000"/>
                </a:schemeClr>
              </a:contourClr>
            </a:sp3d>
          </c:spPr>
          <c:invertIfNegative val="0"/>
          <c:dLbls>
            <c:spPr>
              <a:solidFill>
                <a:schemeClr val="accent4">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Tables'!$AU$141</c:f>
              <c:numCache>
                <c:formatCode>0.0000</c:formatCode>
                <c:ptCount val="1"/>
                <c:pt idx="0">
                  <c:v>10.559288541318711</c:v>
                </c:pt>
              </c:numCache>
            </c:numRef>
          </c:val>
          <c:extLst>
            <c:ext xmlns:c16="http://schemas.microsoft.com/office/drawing/2014/chart" uri="{C3380CC4-5D6E-409C-BE32-E72D297353CC}">
              <c16:uniqueId val="{00000000-EBDF-41A6-A4FA-9C91191AF223}"/>
            </c:ext>
          </c:extLst>
        </c:ser>
        <c:ser>
          <c:idx val="4"/>
          <c:order val="1"/>
          <c:tx>
            <c:v>GWP A4</c:v>
          </c:tx>
          <c:spPr>
            <a:solidFill>
              <a:schemeClr val="accent5">
                <a:alpha val="88000"/>
              </a:schemeClr>
            </a:solidFill>
            <a:ln>
              <a:solidFill>
                <a:schemeClr val="accent5">
                  <a:lumMod val="50000"/>
                </a:schemeClr>
              </a:solidFill>
            </a:ln>
            <a:effectLst/>
            <a:scene3d>
              <a:camera prst="orthographicFront"/>
              <a:lightRig rig="threePt" dir="t"/>
            </a:scene3d>
            <a:sp3d prstMaterial="flat">
              <a:contourClr>
                <a:schemeClr val="accent5">
                  <a:lumMod val="50000"/>
                </a:schemeClr>
              </a:contourClr>
            </a:sp3d>
          </c:spPr>
          <c:invertIfNegative val="0"/>
          <c:dLbls>
            <c:spPr>
              <a:solidFill>
                <a:schemeClr val="accent5">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Tables'!$BB$141</c:f>
              <c:numCache>
                <c:formatCode>0.0000</c:formatCode>
                <c:ptCount val="1"/>
                <c:pt idx="0">
                  <c:v>0.87907455505475318</c:v>
                </c:pt>
              </c:numCache>
            </c:numRef>
          </c:val>
          <c:extLst>
            <c:ext xmlns:c16="http://schemas.microsoft.com/office/drawing/2014/chart" uri="{C3380CC4-5D6E-409C-BE32-E72D297353CC}">
              <c16:uniqueId val="{00000001-EBDF-41A6-A4FA-9C91191AF223}"/>
            </c:ext>
          </c:extLst>
        </c:ser>
        <c:ser>
          <c:idx val="5"/>
          <c:order val="2"/>
          <c:tx>
            <c:v>GWP A5</c:v>
          </c:tx>
          <c:spPr>
            <a:solidFill>
              <a:schemeClr val="accent6">
                <a:alpha val="88000"/>
              </a:schemeClr>
            </a:solidFill>
            <a:ln>
              <a:solidFill>
                <a:schemeClr val="accent6">
                  <a:lumMod val="50000"/>
                </a:schemeClr>
              </a:solidFill>
            </a:ln>
            <a:effectLst/>
            <a:scene3d>
              <a:camera prst="orthographicFront"/>
              <a:lightRig rig="threePt" dir="t"/>
            </a:scene3d>
            <a:sp3d prstMaterial="flat">
              <a:contourClr>
                <a:schemeClr val="accent6">
                  <a:lumMod val="50000"/>
                </a:schemeClr>
              </a:contourClr>
            </a:sp3d>
          </c:spPr>
          <c:invertIfNegative val="0"/>
          <c:dLbls>
            <c:spPr>
              <a:solidFill>
                <a:schemeClr val="accent6">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Tables'!$BI$141</c:f>
              <c:numCache>
                <c:formatCode>0.0000</c:formatCode>
                <c:ptCount val="1"/>
                <c:pt idx="0">
                  <c:v>1.002833103475381</c:v>
                </c:pt>
              </c:numCache>
            </c:numRef>
          </c:val>
          <c:extLst>
            <c:ext xmlns:c16="http://schemas.microsoft.com/office/drawing/2014/chart" uri="{C3380CC4-5D6E-409C-BE32-E72D297353CC}">
              <c16:uniqueId val="{00000002-EBDF-41A6-A4FA-9C91191AF223}"/>
            </c:ext>
          </c:extLst>
        </c:ser>
        <c:dLbls>
          <c:showLegendKey val="0"/>
          <c:showVal val="1"/>
          <c:showCatName val="0"/>
          <c:showSerName val="0"/>
          <c:showPercent val="0"/>
          <c:showBubbleSize val="0"/>
        </c:dLbls>
        <c:gapWidth val="84"/>
        <c:gapDepth val="53"/>
        <c:shape val="box"/>
        <c:axId val="2051595920"/>
        <c:axId val="2051608400"/>
        <c:axId val="0"/>
      </c:bar3DChart>
      <c:catAx>
        <c:axId val="2051595920"/>
        <c:scaling>
          <c:orientation val="minMax"/>
        </c:scaling>
        <c:delete val="1"/>
        <c:axPos val="b"/>
        <c:title>
          <c:tx>
            <c:rich>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r>
                  <a:rPr lang="es-ES"/>
                  <a:t>IMPACTS</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title>
        <c:numFmt formatCode="General" sourceLinked="1"/>
        <c:majorTickMark val="none"/>
        <c:minorTickMark val="none"/>
        <c:tickLblPos val="nextTo"/>
        <c:crossAx val="2051608400"/>
        <c:crosses val="autoZero"/>
        <c:auto val="1"/>
        <c:lblAlgn val="ctr"/>
        <c:lblOffset val="100"/>
        <c:noMultiLvlLbl val="0"/>
      </c:catAx>
      <c:valAx>
        <c:axId val="2051608400"/>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r>
                  <a:rPr lang="es-ES" sz="900" b="1" i="0" baseline="0">
                    <a:effectLst/>
                  </a:rPr>
                  <a:t>(kg CO2-eq/m2/yr)</a:t>
                </a:r>
                <a:endParaRPr lang="es-ES" sz="900">
                  <a:effectLst/>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title>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515959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r>
              <a:rPr lang="es-ES"/>
              <a:t>TOTAL ENVIROMENTAL</a:t>
            </a:r>
            <a:r>
              <a:rPr lang="es-ES" baseline="0"/>
              <a:t> IMPACT ADPF </a:t>
            </a:r>
            <a:r>
              <a:rPr lang="es-ES"/>
              <a:t>A1-A5 PER M2 AND YEAR</a:t>
            </a:r>
          </a:p>
        </c:rich>
      </c:tx>
      <c:overlay val="0"/>
      <c:spPr>
        <a:noFill/>
        <a:ln>
          <a:noFill/>
        </a:ln>
        <a:effectLst/>
      </c:spPr>
      <c:txPr>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endParaRPr lang="en-US"/>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3"/>
          <c:order val="0"/>
          <c:tx>
            <c:v>ADPF A1-A3</c:v>
          </c:tx>
          <c:spPr>
            <a:solidFill>
              <a:schemeClr val="accent4">
                <a:alpha val="88000"/>
              </a:schemeClr>
            </a:solidFill>
            <a:ln>
              <a:solidFill>
                <a:schemeClr val="accent4">
                  <a:lumMod val="50000"/>
                </a:schemeClr>
              </a:solidFill>
            </a:ln>
            <a:effectLst/>
            <a:scene3d>
              <a:camera prst="orthographicFront"/>
              <a:lightRig rig="threePt" dir="t"/>
            </a:scene3d>
            <a:sp3d prstMaterial="flat">
              <a:contourClr>
                <a:schemeClr val="accent4">
                  <a:lumMod val="50000"/>
                </a:schemeClr>
              </a:contourClr>
            </a:sp3d>
          </c:spPr>
          <c:invertIfNegative val="0"/>
          <c:dLbls>
            <c:spPr>
              <a:solidFill>
                <a:schemeClr val="accent4">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Tables'!$AV$141</c:f>
              <c:numCache>
                <c:formatCode>0.0000</c:formatCode>
                <c:ptCount val="1"/>
                <c:pt idx="0">
                  <c:v>87.485900969620175</c:v>
                </c:pt>
              </c:numCache>
            </c:numRef>
          </c:val>
          <c:extLst>
            <c:ext xmlns:c16="http://schemas.microsoft.com/office/drawing/2014/chart" uri="{C3380CC4-5D6E-409C-BE32-E72D297353CC}">
              <c16:uniqueId val="{00000000-BA8D-4901-9005-5F5CE0043BCC}"/>
            </c:ext>
          </c:extLst>
        </c:ser>
        <c:ser>
          <c:idx val="4"/>
          <c:order val="1"/>
          <c:tx>
            <c:v>ADPF A4</c:v>
          </c:tx>
          <c:spPr>
            <a:solidFill>
              <a:schemeClr val="accent5">
                <a:alpha val="88000"/>
              </a:schemeClr>
            </a:solidFill>
            <a:ln>
              <a:solidFill>
                <a:schemeClr val="accent5">
                  <a:lumMod val="50000"/>
                </a:schemeClr>
              </a:solidFill>
            </a:ln>
            <a:effectLst/>
            <a:scene3d>
              <a:camera prst="orthographicFront"/>
              <a:lightRig rig="threePt" dir="t"/>
            </a:scene3d>
            <a:sp3d prstMaterial="flat">
              <a:contourClr>
                <a:schemeClr val="accent5">
                  <a:lumMod val="50000"/>
                </a:schemeClr>
              </a:contourClr>
            </a:sp3d>
          </c:spPr>
          <c:invertIfNegative val="0"/>
          <c:dLbls>
            <c:spPr>
              <a:solidFill>
                <a:schemeClr val="accent5">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Tables'!$BC$141</c:f>
              <c:numCache>
                <c:formatCode>0.0000</c:formatCode>
                <c:ptCount val="1"/>
                <c:pt idx="0">
                  <c:v>4.9165548778952299</c:v>
                </c:pt>
              </c:numCache>
            </c:numRef>
          </c:val>
          <c:extLst>
            <c:ext xmlns:c16="http://schemas.microsoft.com/office/drawing/2014/chart" uri="{C3380CC4-5D6E-409C-BE32-E72D297353CC}">
              <c16:uniqueId val="{00000001-BA8D-4901-9005-5F5CE0043BCC}"/>
            </c:ext>
          </c:extLst>
        </c:ser>
        <c:ser>
          <c:idx val="5"/>
          <c:order val="2"/>
          <c:tx>
            <c:v>ADPF A5</c:v>
          </c:tx>
          <c:spPr>
            <a:solidFill>
              <a:schemeClr val="accent6">
                <a:alpha val="88000"/>
              </a:schemeClr>
            </a:solidFill>
            <a:ln>
              <a:solidFill>
                <a:schemeClr val="accent6">
                  <a:lumMod val="50000"/>
                </a:schemeClr>
              </a:solidFill>
            </a:ln>
            <a:effectLst/>
            <a:scene3d>
              <a:camera prst="orthographicFront"/>
              <a:lightRig rig="threePt" dir="t"/>
            </a:scene3d>
            <a:sp3d prstMaterial="flat">
              <a:contourClr>
                <a:schemeClr val="accent6">
                  <a:lumMod val="50000"/>
                </a:schemeClr>
              </a:contourClr>
            </a:sp3d>
          </c:spPr>
          <c:invertIfNegative val="0"/>
          <c:dLbls>
            <c:spPr>
              <a:solidFill>
                <a:schemeClr val="accent6">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Tables'!$BJ$141</c:f>
              <c:numCache>
                <c:formatCode>0.0000</c:formatCode>
                <c:ptCount val="1"/>
                <c:pt idx="0">
                  <c:v>0.47889440931872157</c:v>
                </c:pt>
              </c:numCache>
            </c:numRef>
          </c:val>
          <c:extLst>
            <c:ext xmlns:c16="http://schemas.microsoft.com/office/drawing/2014/chart" uri="{C3380CC4-5D6E-409C-BE32-E72D297353CC}">
              <c16:uniqueId val="{00000002-BA8D-4901-9005-5F5CE0043BCC}"/>
            </c:ext>
          </c:extLst>
        </c:ser>
        <c:dLbls>
          <c:showLegendKey val="0"/>
          <c:showVal val="1"/>
          <c:showCatName val="0"/>
          <c:showSerName val="0"/>
          <c:showPercent val="0"/>
          <c:showBubbleSize val="0"/>
        </c:dLbls>
        <c:gapWidth val="84"/>
        <c:gapDepth val="53"/>
        <c:shape val="box"/>
        <c:axId val="2051595920"/>
        <c:axId val="2051608400"/>
        <c:axId val="0"/>
      </c:bar3DChart>
      <c:catAx>
        <c:axId val="2051595920"/>
        <c:scaling>
          <c:orientation val="minMax"/>
        </c:scaling>
        <c:delete val="1"/>
        <c:axPos val="b"/>
        <c:title>
          <c:tx>
            <c:rich>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r>
                  <a:rPr lang="es-ES"/>
                  <a:t>IMPACTS</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title>
        <c:numFmt formatCode="General" sourceLinked="1"/>
        <c:majorTickMark val="none"/>
        <c:minorTickMark val="none"/>
        <c:tickLblPos val="nextTo"/>
        <c:crossAx val="2051608400"/>
        <c:crosses val="autoZero"/>
        <c:auto val="1"/>
        <c:lblAlgn val="ctr"/>
        <c:lblOffset val="100"/>
        <c:noMultiLvlLbl val="0"/>
      </c:catAx>
      <c:valAx>
        <c:axId val="2051608400"/>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r>
                  <a:rPr lang="es-ES" sz="900" b="1" i="0" u="none" strike="noStrike" baseline="0">
                    <a:effectLst/>
                  </a:rPr>
                  <a:t>MJ/m2/yr</a:t>
                </a:r>
                <a:endParaRPr lang="es-ES" sz="900">
                  <a:effectLst/>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title>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515959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r>
              <a:rPr lang="es-ES"/>
              <a:t>TOTAL ENVIROMENTAL</a:t>
            </a:r>
            <a:r>
              <a:rPr lang="es-ES" baseline="0"/>
              <a:t> IMPACT pocp </a:t>
            </a:r>
            <a:r>
              <a:rPr lang="es-ES"/>
              <a:t>A1-A5 PER M2 AND YEAR</a:t>
            </a:r>
          </a:p>
        </c:rich>
      </c:tx>
      <c:overlay val="0"/>
      <c:spPr>
        <a:noFill/>
        <a:ln>
          <a:noFill/>
        </a:ln>
        <a:effectLst/>
      </c:spPr>
      <c:txPr>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endParaRPr lang="en-US"/>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3"/>
          <c:order val="0"/>
          <c:tx>
            <c:v>POCP A1-A3</c:v>
          </c:tx>
          <c:spPr>
            <a:solidFill>
              <a:schemeClr val="accent4">
                <a:alpha val="88000"/>
              </a:schemeClr>
            </a:solidFill>
            <a:ln>
              <a:solidFill>
                <a:schemeClr val="accent4">
                  <a:lumMod val="50000"/>
                </a:schemeClr>
              </a:solidFill>
            </a:ln>
            <a:effectLst/>
            <a:scene3d>
              <a:camera prst="orthographicFront"/>
              <a:lightRig rig="threePt" dir="t"/>
            </a:scene3d>
            <a:sp3d prstMaterial="flat">
              <a:contourClr>
                <a:schemeClr val="accent4">
                  <a:lumMod val="50000"/>
                </a:schemeClr>
              </a:contourClr>
            </a:sp3d>
          </c:spPr>
          <c:invertIfNegative val="0"/>
          <c:dLbls>
            <c:spPr>
              <a:solidFill>
                <a:schemeClr val="accent4">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Tables'!$AZ$141</c:f>
              <c:numCache>
                <c:formatCode>0.0000</c:formatCode>
                <c:ptCount val="1"/>
                <c:pt idx="0">
                  <c:v>4.5976318335813728E-3</c:v>
                </c:pt>
              </c:numCache>
            </c:numRef>
          </c:val>
          <c:extLst>
            <c:ext xmlns:c16="http://schemas.microsoft.com/office/drawing/2014/chart" uri="{C3380CC4-5D6E-409C-BE32-E72D297353CC}">
              <c16:uniqueId val="{00000000-8DA2-439B-8AE2-CC12ADAEA4E7}"/>
            </c:ext>
          </c:extLst>
        </c:ser>
        <c:ser>
          <c:idx val="4"/>
          <c:order val="1"/>
          <c:tx>
            <c:v>POCP A4</c:v>
          </c:tx>
          <c:spPr>
            <a:solidFill>
              <a:schemeClr val="accent5">
                <a:alpha val="88000"/>
              </a:schemeClr>
            </a:solidFill>
            <a:ln>
              <a:solidFill>
                <a:schemeClr val="accent5">
                  <a:lumMod val="50000"/>
                </a:schemeClr>
              </a:solidFill>
            </a:ln>
            <a:effectLst/>
            <a:scene3d>
              <a:camera prst="orthographicFront"/>
              <a:lightRig rig="threePt" dir="t"/>
            </a:scene3d>
            <a:sp3d prstMaterial="flat">
              <a:contourClr>
                <a:schemeClr val="accent5">
                  <a:lumMod val="50000"/>
                </a:schemeClr>
              </a:contourClr>
            </a:sp3d>
          </c:spPr>
          <c:invertIfNegative val="0"/>
          <c:dLbls>
            <c:spPr>
              <a:solidFill>
                <a:schemeClr val="accent5">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Tables'!$BG$141</c:f>
              <c:numCache>
                <c:formatCode>0.0000</c:formatCode>
                <c:ptCount val="1"/>
                <c:pt idx="0">
                  <c:v>-4.067027101821113E-5</c:v>
                </c:pt>
              </c:numCache>
            </c:numRef>
          </c:val>
          <c:extLst>
            <c:ext xmlns:c16="http://schemas.microsoft.com/office/drawing/2014/chart" uri="{C3380CC4-5D6E-409C-BE32-E72D297353CC}">
              <c16:uniqueId val="{00000001-8DA2-439B-8AE2-CC12ADAEA4E7}"/>
            </c:ext>
          </c:extLst>
        </c:ser>
        <c:ser>
          <c:idx val="5"/>
          <c:order val="2"/>
          <c:tx>
            <c:v>POCP A5</c:v>
          </c:tx>
          <c:spPr>
            <a:solidFill>
              <a:schemeClr val="accent6">
                <a:alpha val="88000"/>
              </a:schemeClr>
            </a:solidFill>
            <a:ln>
              <a:solidFill>
                <a:schemeClr val="accent6">
                  <a:lumMod val="50000"/>
                </a:schemeClr>
              </a:solidFill>
            </a:ln>
            <a:effectLst/>
            <a:scene3d>
              <a:camera prst="orthographicFront"/>
              <a:lightRig rig="threePt" dir="t"/>
            </a:scene3d>
            <a:sp3d prstMaterial="flat">
              <a:contourClr>
                <a:schemeClr val="accent6">
                  <a:lumMod val="50000"/>
                </a:schemeClr>
              </a:contourClr>
            </a:sp3d>
          </c:spPr>
          <c:invertIfNegative val="0"/>
          <c:dLbls>
            <c:spPr>
              <a:solidFill>
                <a:schemeClr val="accent6">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Tables'!$BN$141</c:f>
              <c:numCache>
                <c:formatCode>0.0000</c:formatCode>
                <c:ptCount val="1"/>
                <c:pt idx="0">
                  <c:v>5.4431274545301418E-5</c:v>
                </c:pt>
              </c:numCache>
            </c:numRef>
          </c:val>
          <c:extLst>
            <c:ext xmlns:c16="http://schemas.microsoft.com/office/drawing/2014/chart" uri="{C3380CC4-5D6E-409C-BE32-E72D297353CC}">
              <c16:uniqueId val="{00000002-8DA2-439B-8AE2-CC12ADAEA4E7}"/>
            </c:ext>
          </c:extLst>
        </c:ser>
        <c:dLbls>
          <c:showLegendKey val="0"/>
          <c:showVal val="1"/>
          <c:showCatName val="0"/>
          <c:showSerName val="0"/>
          <c:showPercent val="0"/>
          <c:showBubbleSize val="0"/>
        </c:dLbls>
        <c:gapWidth val="84"/>
        <c:gapDepth val="53"/>
        <c:shape val="box"/>
        <c:axId val="2051595920"/>
        <c:axId val="2051608400"/>
        <c:axId val="0"/>
      </c:bar3DChart>
      <c:catAx>
        <c:axId val="2051595920"/>
        <c:scaling>
          <c:orientation val="minMax"/>
        </c:scaling>
        <c:delete val="1"/>
        <c:axPos val="b"/>
        <c:title>
          <c:tx>
            <c:rich>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r>
                  <a:rPr lang="es-ES"/>
                  <a:t>IMPACTS</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title>
        <c:numFmt formatCode="General" sourceLinked="1"/>
        <c:majorTickMark val="none"/>
        <c:minorTickMark val="none"/>
        <c:tickLblPos val="nextTo"/>
        <c:crossAx val="2051608400"/>
        <c:crosses val="autoZero"/>
        <c:auto val="1"/>
        <c:lblAlgn val="ctr"/>
        <c:lblOffset val="100"/>
        <c:noMultiLvlLbl val="0"/>
      </c:catAx>
      <c:valAx>
        <c:axId val="2051608400"/>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r>
                  <a:rPr lang="es-ES" sz="900" b="1" i="0" u="none" strike="noStrike" baseline="0">
                    <a:effectLst/>
                  </a:rPr>
                  <a:t>(kg Ethen-eq./m2/yr)</a:t>
                </a:r>
                <a:endParaRPr lang="es-ES" sz="900">
                  <a:effectLst/>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title>
        <c:numFmt formatCode="0.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515959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ENERGY</a:t>
            </a:r>
            <a:r>
              <a:rPr lang="es-ES" baseline="0"/>
              <a:t> CONSUMPTION (PENRT A1-A3, A4, A5) PER M2 AND YEAR</a:t>
            </a:r>
            <a:endParaRPr lang="es-E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7.8400859524266731E-2"/>
          <c:y val="0.10214685521514139"/>
          <c:w val="0.90800257025879594"/>
          <c:h val="0.74371970434882251"/>
        </c:manualLayout>
      </c:layout>
      <c:barChart>
        <c:barDir val="col"/>
        <c:grouping val="stacked"/>
        <c:varyColors val="0"/>
        <c:ser>
          <c:idx val="0"/>
          <c:order val="0"/>
          <c:tx>
            <c:strRef>
              <c:f>'Results - Tables'!$BR$131:$BR$132</c:f>
              <c:strCache>
                <c:ptCount val="2"/>
                <c:pt idx="0">
                  <c:v>Tipo de Impacto</c:v>
                </c:pt>
                <c:pt idx="1">
                  <c:v>A1-A3</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Tables'!$BQ$133:$BQ$137</c:f>
              <c:strCache>
                <c:ptCount val="5"/>
                <c:pt idx="0">
                  <c:v>FOUNDATIONS</c:v>
                </c:pt>
                <c:pt idx="1">
                  <c:v>STRUCTURAL ELEMENTS</c:v>
                </c:pt>
                <c:pt idx="2">
                  <c:v>NON-LOAD BEARING ELEMENTS</c:v>
                </c:pt>
                <c:pt idx="3">
                  <c:v>FECADES</c:v>
                </c:pt>
                <c:pt idx="4">
                  <c:v>ROOFS</c:v>
                </c:pt>
              </c:strCache>
            </c:strRef>
          </c:cat>
          <c:val>
            <c:numRef>
              <c:f>'Results - Tables'!$BR$133:$BR$137</c:f>
              <c:numCache>
                <c:formatCode>0.0000</c:formatCode>
                <c:ptCount val="5"/>
                <c:pt idx="0">
                  <c:v>9.9561443068499536</c:v>
                </c:pt>
                <c:pt idx="1">
                  <c:v>16.897796427461945</c:v>
                </c:pt>
                <c:pt idx="2">
                  <c:v>32.839667429403825</c:v>
                </c:pt>
                <c:pt idx="3">
                  <c:v>34.195285876362888</c:v>
                </c:pt>
                <c:pt idx="4">
                  <c:v>15.802309935395838</c:v>
                </c:pt>
              </c:numCache>
            </c:numRef>
          </c:val>
          <c:extLst>
            <c:ext xmlns:c16="http://schemas.microsoft.com/office/drawing/2014/chart" uri="{C3380CC4-5D6E-409C-BE32-E72D297353CC}">
              <c16:uniqueId val="{00000000-3ECC-441F-A525-C7321B19044C}"/>
            </c:ext>
          </c:extLst>
        </c:ser>
        <c:ser>
          <c:idx val="1"/>
          <c:order val="1"/>
          <c:tx>
            <c:strRef>
              <c:f>'Results - Tables'!$BS$131:$BS$132</c:f>
              <c:strCache>
                <c:ptCount val="2"/>
                <c:pt idx="0">
                  <c:v>Tipo de Impacto</c:v>
                </c:pt>
                <c:pt idx="1">
                  <c:v>A4</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Tables'!$BQ$133:$BQ$137</c:f>
              <c:strCache>
                <c:ptCount val="5"/>
                <c:pt idx="0">
                  <c:v>FOUNDATIONS</c:v>
                </c:pt>
                <c:pt idx="1">
                  <c:v>STRUCTURAL ELEMENTS</c:v>
                </c:pt>
                <c:pt idx="2">
                  <c:v>NON-LOAD BEARING ELEMENTS</c:v>
                </c:pt>
                <c:pt idx="3">
                  <c:v>FECADES</c:v>
                </c:pt>
                <c:pt idx="4">
                  <c:v>ROOFS</c:v>
                </c:pt>
              </c:strCache>
            </c:strRef>
          </c:cat>
          <c:val>
            <c:numRef>
              <c:f>'Results - Tables'!$BS$133:$BS$137</c:f>
              <c:numCache>
                <c:formatCode>0.0000</c:formatCode>
                <c:ptCount val="5"/>
                <c:pt idx="0">
                  <c:v>0.52929773345759557</c:v>
                </c:pt>
                <c:pt idx="1">
                  <c:v>1.0146066278347312</c:v>
                </c:pt>
                <c:pt idx="2">
                  <c:v>1.03917419157347</c:v>
                </c:pt>
                <c:pt idx="3">
                  <c:v>0.90065254534016781</c:v>
                </c:pt>
                <c:pt idx="4">
                  <c:v>0.19488619735413124</c:v>
                </c:pt>
              </c:numCache>
            </c:numRef>
          </c:val>
          <c:extLst>
            <c:ext xmlns:c16="http://schemas.microsoft.com/office/drawing/2014/chart" uri="{C3380CC4-5D6E-409C-BE32-E72D297353CC}">
              <c16:uniqueId val="{00000001-3ECC-441F-A525-C7321B19044C}"/>
            </c:ext>
          </c:extLst>
        </c:ser>
        <c:ser>
          <c:idx val="2"/>
          <c:order val="2"/>
          <c:tx>
            <c:strRef>
              <c:f>'Results - Tables'!$BT$131:$BT$132</c:f>
              <c:strCache>
                <c:ptCount val="2"/>
                <c:pt idx="0">
                  <c:v>Tipo de Impacto</c:v>
                </c:pt>
                <c:pt idx="1">
                  <c:v>A5</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Tables'!$BQ$133:$BQ$137</c:f>
              <c:strCache>
                <c:ptCount val="5"/>
                <c:pt idx="0">
                  <c:v>FOUNDATIONS</c:v>
                </c:pt>
                <c:pt idx="1">
                  <c:v>STRUCTURAL ELEMENTS</c:v>
                </c:pt>
                <c:pt idx="2">
                  <c:v>NON-LOAD BEARING ELEMENTS</c:v>
                </c:pt>
                <c:pt idx="3">
                  <c:v>FECADES</c:v>
                </c:pt>
                <c:pt idx="4">
                  <c:v>ROOFS</c:v>
                </c:pt>
              </c:strCache>
            </c:strRef>
          </c:cat>
          <c:val>
            <c:numRef>
              <c:f>'Results - Tables'!$BT$133:$BT$137</c:f>
              <c:numCache>
                <c:formatCode>0.0000</c:formatCode>
                <c:ptCount val="5"/>
                <c:pt idx="0">
                  <c:v>3.2384518874650513E-2</c:v>
                </c:pt>
                <c:pt idx="1">
                  <c:v>5.0619501164958069E-3</c:v>
                </c:pt>
                <c:pt idx="2">
                  <c:v>2.5421827263252452</c:v>
                </c:pt>
                <c:pt idx="3">
                  <c:v>0.25840522042211705</c:v>
                </c:pt>
                <c:pt idx="4">
                  <c:v>1.0532720865647707</c:v>
                </c:pt>
              </c:numCache>
            </c:numRef>
          </c:val>
          <c:extLst>
            <c:ext xmlns:c16="http://schemas.microsoft.com/office/drawing/2014/chart" uri="{C3380CC4-5D6E-409C-BE32-E72D297353CC}">
              <c16:uniqueId val="{00000002-3ECC-441F-A525-C7321B19044C}"/>
            </c:ext>
          </c:extLst>
        </c:ser>
        <c:dLbls>
          <c:dLblPos val="ctr"/>
          <c:showLegendKey val="0"/>
          <c:showVal val="1"/>
          <c:showCatName val="0"/>
          <c:showSerName val="0"/>
          <c:showPercent val="0"/>
          <c:showBubbleSize val="0"/>
        </c:dLbls>
        <c:gapWidth val="150"/>
        <c:overlap val="100"/>
        <c:axId val="636085840"/>
        <c:axId val="636073776"/>
      </c:barChart>
      <c:catAx>
        <c:axId val="6360858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36073776"/>
        <c:crosses val="autoZero"/>
        <c:auto val="1"/>
        <c:lblAlgn val="ctr"/>
        <c:lblOffset val="100"/>
        <c:noMultiLvlLbl val="0"/>
      </c:catAx>
      <c:valAx>
        <c:axId val="63607377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ES"/>
                  <a:t>(MJ/m2/year)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3608584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ENERGY CONSUMPTION (PERT A1-A3,</a:t>
            </a:r>
            <a:r>
              <a:rPr lang="es-ES" baseline="0"/>
              <a:t> A4, A5) PER M2 AND YEAR</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8.5160599135686008E-2"/>
          <c:y val="0.14346024907205718"/>
          <c:w val="0.9012324720709266"/>
          <c:h val="0.73761655691933781"/>
        </c:manualLayout>
      </c:layout>
      <c:barChart>
        <c:barDir val="col"/>
        <c:grouping val="stacked"/>
        <c:varyColors val="0"/>
        <c:ser>
          <c:idx val="0"/>
          <c:order val="0"/>
          <c:tx>
            <c:strRef>
              <c:f>'Results - Tables'!$BR$123:$BR$124</c:f>
              <c:strCache>
                <c:ptCount val="2"/>
                <c:pt idx="0">
                  <c:v>Tipo de Impacto</c:v>
                </c:pt>
                <c:pt idx="1">
                  <c:v>A1-A3</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Tables'!$BQ$125:$BQ$129</c:f>
              <c:strCache>
                <c:ptCount val="5"/>
                <c:pt idx="0">
                  <c:v>FOUNDATIONS</c:v>
                </c:pt>
                <c:pt idx="1">
                  <c:v>STRUCTURAL ELEMENTS</c:v>
                </c:pt>
                <c:pt idx="2">
                  <c:v>NON-LOAD BEARING ELEMENTS</c:v>
                </c:pt>
                <c:pt idx="3">
                  <c:v>FECADES</c:v>
                </c:pt>
                <c:pt idx="4">
                  <c:v>ROOFS</c:v>
                </c:pt>
              </c:strCache>
            </c:strRef>
          </c:cat>
          <c:val>
            <c:numRef>
              <c:f>'Results - Tables'!$BR$125:$BR$129</c:f>
              <c:numCache>
                <c:formatCode>0.0000</c:formatCode>
                <c:ptCount val="5"/>
                <c:pt idx="0">
                  <c:v>1.4836307474370922</c:v>
                </c:pt>
                <c:pt idx="1">
                  <c:v>2.8141903665734698</c:v>
                </c:pt>
                <c:pt idx="2">
                  <c:v>4.0006946310057891</c:v>
                </c:pt>
                <c:pt idx="3">
                  <c:v>4.3255175425256658</c:v>
                </c:pt>
                <c:pt idx="4">
                  <c:v>1.9091144627028351</c:v>
                </c:pt>
              </c:numCache>
            </c:numRef>
          </c:val>
          <c:extLst>
            <c:ext xmlns:c16="http://schemas.microsoft.com/office/drawing/2014/chart" uri="{C3380CC4-5D6E-409C-BE32-E72D297353CC}">
              <c16:uniqueId val="{00000000-14E0-4725-8C53-F99E95CE8FB8}"/>
            </c:ext>
          </c:extLst>
        </c:ser>
        <c:ser>
          <c:idx val="1"/>
          <c:order val="1"/>
          <c:tx>
            <c:strRef>
              <c:f>'Results - Tables'!$BS$123:$BS$124</c:f>
              <c:strCache>
                <c:ptCount val="2"/>
                <c:pt idx="0">
                  <c:v>Tipo de Impacto</c:v>
                </c:pt>
                <c:pt idx="1">
                  <c:v>A4</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Tables'!$BQ$125:$BQ$129</c:f>
              <c:strCache>
                <c:ptCount val="5"/>
                <c:pt idx="0">
                  <c:v>FOUNDATIONS</c:v>
                </c:pt>
                <c:pt idx="1">
                  <c:v>STRUCTURAL ELEMENTS</c:v>
                </c:pt>
                <c:pt idx="2">
                  <c:v>NON-LOAD BEARING ELEMENTS</c:v>
                </c:pt>
                <c:pt idx="3">
                  <c:v>FECADES</c:v>
                </c:pt>
                <c:pt idx="4">
                  <c:v>ROOFS</c:v>
                </c:pt>
              </c:strCache>
            </c:strRef>
          </c:cat>
          <c:val>
            <c:numRef>
              <c:f>'Results - Tables'!$BS$125:$BS$129</c:f>
              <c:numCache>
                <c:formatCode>0.0000</c:formatCode>
                <c:ptCount val="5"/>
                <c:pt idx="0">
                  <c:v>2.1502296551724139E-2</c:v>
                </c:pt>
                <c:pt idx="1">
                  <c:v>3.6497579217148184E-2</c:v>
                </c:pt>
                <c:pt idx="2">
                  <c:v>2.7085413173734078E-2</c:v>
                </c:pt>
                <c:pt idx="3">
                  <c:v>4.3821324502951231E-2</c:v>
                </c:pt>
                <c:pt idx="4">
                  <c:v>5.858779951177194E-3</c:v>
                </c:pt>
              </c:numCache>
            </c:numRef>
          </c:val>
          <c:extLst>
            <c:ext xmlns:c16="http://schemas.microsoft.com/office/drawing/2014/chart" uri="{C3380CC4-5D6E-409C-BE32-E72D297353CC}">
              <c16:uniqueId val="{00000001-14E0-4725-8C53-F99E95CE8FB8}"/>
            </c:ext>
          </c:extLst>
        </c:ser>
        <c:ser>
          <c:idx val="2"/>
          <c:order val="2"/>
          <c:tx>
            <c:strRef>
              <c:f>'Results - Tables'!$BT$123:$BT$124</c:f>
              <c:strCache>
                <c:ptCount val="2"/>
                <c:pt idx="0">
                  <c:v>Tipo de Impacto</c:v>
                </c:pt>
                <c:pt idx="1">
                  <c:v>A5</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Tables'!$BQ$125:$BQ$129</c:f>
              <c:strCache>
                <c:ptCount val="5"/>
                <c:pt idx="0">
                  <c:v>FOUNDATIONS</c:v>
                </c:pt>
                <c:pt idx="1">
                  <c:v>STRUCTURAL ELEMENTS</c:v>
                </c:pt>
                <c:pt idx="2">
                  <c:v>NON-LOAD BEARING ELEMENTS</c:v>
                </c:pt>
                <c:pt idx="3">
                  <c:v>FECADES</c:v>
                </c:pt>
                <c:pt idx="4">
                  <c:v>ROOFS</c:v>
                </c:pt>
              </c:strCache>
            </c:strRef>
          </c:cat>
          <c:val>
            <c:numRef>
              <c:f>'Results - Tables'!$BT$125:$BT$129</c:f>
              <c:numCache>
                <c:formatCode>0.0000</c:formatCode>
                <c:ptCount val="5"/>
                <c:pt idx="0">
                  <c:v>5.2617931034482763E-4</c:v>
                </c:pt>
                <c:pt idx="1">
                  <c:v>0</c:v>
                </c:pt>
                <c:pt idx="2">
                  <c:v>6.2802923977345881E-2</c:v>
                </c:pt>
                <c:pt idx="3">
                  <c:v>5.0546429629903557E-2</c:v>
                </c:pt>
                <c:pt idx="4">
                  <c:v>7.7262998942188965E-2</c:v>
                </c:pt>
              </c:numCache>
            </c:numRef>
          </c:val>
          <c:extLst>
            <c:ext xmlns:c16="http://schemas.microsoft.com/office/drawing/2014/chart" uri="{C3380CC4-5D6E-409C-BE32-E72D297353CC}">
              <c16:uniqueId val="{00000002-14E0-4725-8C53-F99E95CE8FB8}"/>
            </c:ext>
          </c:extLst>
        </c:ser>
        <c:dLbls>
          <c:dLblPos val="ctr"/>
          <c:showLegendKey val="0"/>
          <c:showVal val="1"/>
          <c:showCatName val="0"/>
          <c:showSerName val="0"/>
          <c:showPercent val="0"/>
          <c:showBubbleSize val="0"/>
        </c:dLbls>
        <c:gapWidth val="150"/>
        <c:overlap val="100"/>
        <c:axId val="634324144"/>
        <c:axId val="634317904"/>
      </c:barChart>
      <c:catAx>
        <c:axId val="6343241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34317904"/>
        <c:crosses val="autoZero"/>
        <c:auto val="1"/>
        <c:lblAlgn val="ctr"/>
        <c:lblOffset val="100"/>
        <c:noMultiLvlLbl val="0"/>
      </c:catAx>
      <c:valAx>
        <c:axId val="634317904"/>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ES" sz="1100" baseline="0"/>
                  <a:t>(MJ/m2/year)</a:t>
                </a:r>
              </a:p>
              <a:p>
                <a:pPr>
                  <a:defRPr sz="1100"/>
                </a:pPr>
                <a:endParaRPr lang="es-ES" sz="1100" baseline="0"/>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title>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34324144"/>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ENVIROMENTAL IMPACT (GWP A1-A3, A4, A5) PER M2 AND YEAR</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 - Tables'!$BW$112:$BW$113</c:f>
              <c:strCache>
                <c:ptCount val="2"/>
                <c:pt idx="0">
                  <c:v>Tipo de Impacto</c:v>
                </c:pt>
                <c:pt idx="1">
                  <c:v>A1-A3</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Tables'!$BV$114:$BV$118</c:f>
              <c:strCache>
                <c:ptCount val="5"/>
                <c:pt idx="0">
                  <c:v>FOUNDATIONS</c:v>
                </c:pt>
                <c:pt idx="1">
                  <c:v>STRUCTURAL ELEMENTS</c:v>
                </c:pt>
                <c:pt idx="2">
                  <c:v>NON-LOAD BEARING ELEMENTS</c:v>
                </c:pt>
                <c:pt idx="3">
                  <c:v>FECADES</c:v>
                </c:pt>
                <c:pt idx="4">
                  <c:v>ROOFS</c:v>
                </c:pt>
              </c:strCache>
            </c:strRef>
          </c:cat>
          <c:val>
            <c:numRef>
              <c:f>'Results - Tables'!$BW$114:$BW$118</c:f>
              <c:numCache>
                <c:formatCode>0.0000</c:formatCode>
                <c:ptCount val="5"/>
                <c:pt idx="0">
                  <c:v>1.6597260505591798</c:v>
                </c:pt>
                <c:pt idx="1">
                  <c:v>2.6129117334575955</c:v>
                </c:pt>
                <c:pt idx="2">
                  <c:v>2.7196517560372286</c:v>
                </c:pt>
                <c:pt idx="3">
                  <c:v>3.5669990012647061</c:v>
                </c:pt>
                <c:pt idx="4">
                  <c:v>0.9854520484641055</c:v>
                </c:pt>
              </c:numCache>
            </c:numRef>
          </c:val>
          <c:extLst>
            <c:ext xmlns:c16="http://schemas.microsoft.com/office/drawing/2014/chart" uri="{C3380CC4-5D6E-409C-BE32-E72D297353CC}">
              <c16:uniqueId val="{00000000-39F8-479D-BAE8-2FFA3B5DF84E}"/>
            </c:ext>
          </c:extLst>
        </c:ser>
        <c:ser>
          <c:idx val="1"/>
          <c:order val="1"/>
          <c:tx>
            <c:strRef>
              <c:f>'Results - Tables'!$BX$112:$BX$113</c:f>
              <c:strCache>
                <c:ptCount val="2"/>
                <c:pt idx="0">
                  <c:v>Tipo de Impacto</c:v>
                </c:pt>
                <c:pt idx="1">
                  <c:v>A4</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Tables'!$BV$114:$BV$118</c:f>
              <c:strCache>
                <c:ptCount val="5"/>
                <c:pt idx="0">
                  <c:v>FOUNDATIONS</c:v>
                </c:pt>
                <c:pt idx="1">
                  <c:v>STRUCTURAL ELEMENTS</c:v>
                </c:pt>
                <c:pt idx="2">
                  <c:v>NON-LOAD BEARING ELEMENTS</c:v>
                </c:pt>
                <c:pt idx="3">
                  <c:v>FECADES</c:v>
                </c:pt>
                <c:pt idx="4">
                  <c:v>ROOFS</c:v>
                </c:pt>
              </c:strCache>
            </c:strRef>
          </c:cat>
          <c:val>
            <c:numRef>
              <c:f>'Results - Tables'!$BX$114:$BX$118</c:f>
              <c:numCache>
                <c:formatCode>0.0000</c:formatCode>
                <c:ptCount val="5"/>
                <c:pt idx="0">
                  <c:v>3.6477787278657969E-2</c:v>
                </c:pt>
                <c:pt idx="1">
                  <c:v>6.8413209847778822E-2</c:v>
                </c:pt>
                <c:pt idx="2">
                  <c:v>0.10195966764853721</c:v>
                </c:pt>
                <c:pt idx="3">
                  <c:v>0.67222389027977913</c:v>
                </c:pt>
                <c:pt idx="4">
                  <c:v>3.7571636146045306E-2</c:v>
                </c:pt>
              </c:numCache>
            </c:numRef>
          </c:val>
          <c:extLst>
            <c:ext xmlns:c16="http://schemas.microsoft.com/office/drawing/2014/chart" uri="{C3380CC4-5D6E-409C-BE32-E72D297353CC}">
              <c16:uniqueId val="{00000001-39F8-479D-BAE8-2FFA3B5DF84E}"/>
            </c:ext>
          </c:extLst>
        </c:ser>
        <c:ser>
          <c:idx val="2"/>
          <c:order val="2"/>
          <c:tx>
            <c:strRef>
              <c:f>'Results - Tables'!$BY$112:$BY$113</c:f>
              <c:strCache>
                <c:ptCount val="2"/>
                <c:pt idx="0">
                  <c:v>Tipo de Impacto</c:v>
                </c:pt>
                <c:pt idx="1">
                  <c:v>A5</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Tables'!$BV$114:$BV$118</c:f>
              <c:strCache>
                <c:ptCount val="5"/>
                <c:pt idx="0">
                  <c:v>FOUNDATIONS</c:v>
                </c:pt>
                <c:pt idx="1">
                  <c:v>STRUCTURAL ELEMENTS</c:v>
                </c:pt>
                <c:pt idx="2">
                  <c:v>NON-LOAD BEARING ELEMENTS</c:v>
                </c:pt>
                <c:pt idx="3">
                  <c:v>FECADES</c:v>
                </c:pt>
                <c:pt idx="4">
                  <c:v>ROOFS</c:v>
                </c:pt>
              </c:strCache>
            </c:strRef>
          </c:cat>
          <c:val>
            <c:numRef>
              <c:f>'Results - Tables'!$BY$114:$BY$118</c:f>
              <c:numCache>
                <c:formatCode>0.0000</c:formatCode>
                <c:ptCount val="5"/>
                <c:pt idx="0">
                  <c:v>3.0784098481154007E-3</c:v>
                </c:pt>
                <c:pt idx="1">
                  <c:v>7.3254572663373715E-4</c:v>
                </c:pt>
                <c:pt idx="2">
                  <c:v>5.5638597354887367E-2</c:v>
                </c:pt>
                <c:pt idx="3">
                  <c:v>0.94338355054574452</c:v>
                </c:pt>
                <c:pt idx="4">
                  <c:v>7.1558163554204718E-2</c:v>
                </c:pt>
              </c:numCache>
            </c:numRef>
          </c:val>
          <c:extLst>
            <c:ext xmlns:c16="http://schemas.microsoft.com/office/drawing/2014/chart" uri="{C3380CC4-5D6E-409C-BE32-E72D297353CC}">
              <c16:uniqueId val="{00000002-39F8-479D-BAE8-2FFA3B5DF84E}"/>
            </c:ext>
          </c:extLst>
        </c:ser>
        <c:dLbls>
          <c:dLblPos val="ctr"/>
          <c:showLegendKey val="0"/>
          <c:showVal val="1"/>
          <c:showCatName val="0"/>
          <c:showSerName val="0"/>
          <c:showPercent val="0"/>
          <c:showBubbleSize val="0"/>
        </c:dLbls>
        <c:gapWidth val="150"/>
        <c:overlap val="100"/>
        <c:axId val="636074192"/>
        <c:axId val="636075856"/>
      </c:barChart>
      <c:catAx>
        <c:axId val="6360741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36075856"/>
        <c:crosses val="autoZero"/>
        <c:auto val="1"/>
        <c:lblAlgn val="ctr"/>
        <c:lblOffset val="100"/>
        <c:noMultiLvlLbl val="0"/>
      </c:catAx>
      <c:valAx>
        <c:axId val="6360758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ES" sz="1100" baseline="0"/>
                  <a:t>(kg CO2-eq./m2/yr)</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title>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3607419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TOTAL PRICE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Tables'!$BR$113:$BT$113</c:f>
              <c:strCache>
                <c:ptCount val="3"/>
                <c:pt idx="0">
                  <c:v>Concrete and bricks</c:v>
                </c:pt>
                <c:pt idx="1">
                  <c:v>Steel and bricks</c:v>
                </c:pt>
                <c:pt idx="2">
                  <c:v>Timber</c:v>
                </c:pt>
              </c:strCache>
            </c:strRef>
          </c:cat>
          <c:val>
            <c:numRef>
              <c:f>'Results - Tables'!$BR$119:$BT$119</c:f>
              <c:numCache>
                <c:formatCode>General</c:formatCode>
                <c:ptCount val="3"/>
                <c:pt idx="0" formatCode="0.00">
                  <c:v>212503.7262338718</c:v>
                </c:pt>
                <c:pt idx="1">
                  <c:v>323998.76</c:v>
                </c:pt>
                <c:pt idx="2">
                  <c:v>334920.98</c:v>
                </c:pt>
              </c:numCache>
            </c:numRef>
          </c:val>
          <c:extLst>
            <c:ext xmlns:c16="http://schemas.microsoft.com/office/drawing/2014/chart" uri="{C3380CC4-5D6E-409C-BE32-E72D297353CC}">
              <c16:uniqueId val="{00000000-1467-442A-AC55-18F50C04D0CB}"/>
            </c:ext>
          </c:extLst>
        </c:ser>
        <c:dLbls>
          <c:dLblPos val="inEnd"/>
          <c:showLegendKey val="0"/>
          <c:showVal val="1"/>
          <c:showCatName val="0"/>
          <c:showSerName val="0"/>
          <c:showPercent val="0"/>
          <c:showBubbleSize val="0"/>
        </c:dLbls>
        <c:gapWidth val="65"/>
        <c:axId val="681494831"/>
        <c:axId val="681498575"/>
      </c:barChart>
      <c:catAx>
        <c:axId val="68149483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81498575"/>
        <c:crosses val="autoZero"/>
        <c:auto val="1"/>
        <c:lblAlgn val="ctr"/>
        <c:lblOffset val="100"/>
        <c:noMultiLvlLbl val="0"/>
      </c:catAx>
      <c:valAx>
        <c:axId val="681498575"/>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ES"/>
                  <a:t>EUROS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81494831"/>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ENVIROMENTAL IMPACT (ADPF A1-A3, A4, A5) PER M2</a:t>
            </a:r>
            <a:r>
              <a:rPr lang="es-ES" baseline="0"/>
              <a:t> AND YEAR</a:t>
            </a:r>
            <a:endParaRPr lang="es-E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 - Tables'!$BW$120:$BW$121</c:f>
              <c:strCache>
                <c:ptCount val="2"/>
                <c:pt idx="0">
                  <c:v>Tipo de Impacto</c:v>
                </c:pt>
                <c:pt idx="1">
                  <c:v>A1-A3</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Tables'!$BV$122:$BV$126</c:f>
              <c:strCache>
                <c:ptCount val="5"/>
                <c:pt idx="0">
                  <c:v>FOUNDATIONS</c:v>
                </c:pt>
                <c:pt idx="1">
                  <c:v>STRUCTURAL ELEMENTS</c:v>
                </c:pt>
                <c:pt idx="2">
                  <c:v>NON-LOAD BEARING ELEMENTS</c:v>
                </c:pt>
                <c:pt idx="3">
                  <c:v>FECADES</c:v>
                </c:pt>
                <c:pt idx="4">
                  <c:v>ROOFS</c:v>
                </c:pt>
              </c:strCache>
            </c:strRef>
          </c:cat>
          <c:val>
            <c:numRef>
              <c:f>'Results - Tables'!$BW$122:$BW$126</c:f>
              <c:numCache>
                <c:formatCode>0.0000</c:formatCode>
                <c:ptCount val="5"/>
                <c:pt idx="0">
                  <c:v>9.5353125524231146</c:v>
                </c:pt>
                <c:pt idx="1">
                  <c:v>16.016788288288289</c:v>
                </c:pt>
                <c:pt idx="2">
                  <c:v>31.168264552190397</c:v>
                </c:pt>
                <c:pt idx="3">
                  <c:v>30.765535576718378</c:v>
                </c:pt>
                <c:pt idx="4">
                  <c:v>10.299370254625067</c:v>
                </c:pt>
              </c:numCache>
            </c:numRef>
          </c:val>
          <c:extLst>
            <c:ext xmlns:c16="http://schemas.microsoft.com/office/drawing/2014/chart" uri="{C3380CC4-5D6E-409C-BE32-E72D297353CC}">
              <c16:uniqueId val="{00000000-D67E-4CF8-96A9-DA64A3FE33D6}"/>
            </c:ext>
          </c:extLst>
        </c:ser>
        <c:ser>
          <c:idx val="1"/>
          <c:order val="1"/>
          <c:tx>
            <c:strRef>
              <c:f>'Results - Tables'!$BX$120:$BX$121</c:f>
              <c:strCache>
                <c:ptCount val="2"/>
                <c:pt idx="0">
                  <c:v>Tipo de Impacto</c:v>
                </c:pt>
                <c:pt idx="1">
                  <c:v>A4</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Tables'!$BV$122:$BV$126</c:f>
              <c:strCache>
                <c:ptCount val="5"/>
                <c:pt idx="0">
                  <c:v>FOUNDATIONS</c:v>
                </c:pt>
                <c:pt idx="1">
                  <c:v>STRUCTURAL ELEMENTS</c:v>
                </c:pt>
                <c:pt idx="2">
                  <c:v>NON-LOAD BEARING ELEMENTS</c:v>
                </c:pt>
                <c:pt idx="3">
                  <c:v>FECADES</c:v>
                </c:pt>
                <c:pt idx="4">
                  <c:v>ROOFS</c:v>
                </c:pt>
              </c:strCache>
            </c:strRef>
          </c:cat>
          <c:val>
            <c:numRef>
              <c:f>'Results - Tables'!$BX$122:$BX$126</c:f>
              <c:numCache>
                <c:formatCode>0.0000</c:formatCode>
                <c:ptCount val="5"/>
                <c:pt idx="0">
                  <c:v>0.52136891076421255</c:v>
                </c:pt>
                <c:pt idx="1">
                  <c:v>0.99506798695246967</c:v>
                </c:pt>
                <c:pt idx="2">
                  <c:v>2.4967268117241237</c:v>
                </c:pt>
                <c:pt idx="3">
                  <c:v>0.90339116845442358</c:v>
                </c:pt>
                <c:pt idx="4">
                  <c:v>0.4276729125264554</c:v>
                </c:pt>
              </c:numCache>
            </c:numRef>
          </c:val>
          <c:extLst>
            <c:ext xmlns:c16="http://schemas.microsoft.com/office/drawing/2014/chart" uri="{C3380CC4-5D6E-409C-BE32-E72D297353CC}">
              <c16:uniqueId val="{00000001-D67E-4CF8-96A9-DA64A3FE33D6}"/>
            </c:ext>
          </c:extLst>
        </c:ser>
        <c:ser>
          <c:idx val="2"/>
          <c:order val="2"/>
          <c:tx>
            <c:strRef>
              <c:f>'Results - Tables'!$BY$120:$BY$121</c:f>
              <c:strCache>
                <c:ptCount val="2"/>
                <c:pt idx="0">
                  <c:v>Tipo de Impacto</c:v>
                </c:pt>
                <c:pt idx="1">
                  <c:v>A5</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Tables'!$BV$122:$BV$126</c:f>
              <c:strCache>
                <c:ptCount val="5"/>
                <c:pt idx="0">
                  <c:v>FOUNDATIONS</c:v>
                </c:pt>
                <c:pt idx="1">
                  <c:v>STRUCTURAL ELEMENTS</c:v>
                </c:pt>
                <c:pt idx="2">
                  <c:v>NON-LOAD BEARING ELEMENTS</c:v>
                </c:pt>
                <c:pt idx="3">
                  <c:v>FECADES</c:v>
                </c:pt>
                <c:pt idx="4">
                  <c:v>ROOFS</c:v>
                </c:pt>
              </c:strCache>
            </c:strRef>
          </c:cat>
          <c:val>
            <c:numRef>
              <c:f>'Results - Tables'!$BY$122:$BY$126</c:f>
              <c:numCache>
                <c:formatCode>0.0000</c:formatCode>
                <c:ptCount val="5"/>
                <c:pt idx="0">
                  <c:v>3.2952679209459469E-2</c:v>
                </c:pt>
                <c:pt idx="1">
                  <c:v>1.0221381658900281E-2</c:v>
                </c:pt>
                <c:pt idx="2">
                  <c:v>0.19878912919423827</c:v>
                </c:pt>
                <c:pt idx="3">
                  <c:v>0.23693121925612354</c:v>
                </c:pt>
                <c:pt idx="4">
                  <c:v>0.13695543440854305</c:v>
                </c:pt>
              </c:numCache>
            </c:numRef>
          </c:val>
          <c:extLst>
            <c:ext xmlns:c16="http://schemas.microsoft.com/office/drawing/2014/chart" uri="{C3380CC4-5D6E-409C-BE32-E72D297353CC}">
              <c16:uniqueId val="{00000002-D67E-4CF8-96A9-DA64A3FE33D6}"/>
            </c:ext>
          </c:extLst>
        </c:ser>
        <c:dLbls>
          <c:dLblPos val="ctr"/>
          <c:showLegendKey val="0"/>
          <c:showVal val="1"/>
          <c:showCatName val="0"/>
          <c:showSerName val="0"/>
          <c:showPercent val="0"/>
          <c:showBubbleSize val="0"/>
        </c:dLbls>
        <c:gapWidth val="150"/>
        <c:overlap val="100"/>
        <c:axId val="634310416"/>
        <c:axId val="634310832"/>
      </c:barChart>
      <c:catAx>
        <c:axId val="6343104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34310832"/>
        <c:crosses val="autoZero"/>
        <c:auto val="1"/>
        <c:lblAlgn val="ctr"/>
        <c:lblOffset val="100"/>
        <c:noMultiLvlLbl val="0"/>
      </c:catAx>
      <c:valAx>
        <c:axId val="63431083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ES" sz="1100" baseline="0"/>
                  <a:t>(MJ/m2/year)</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title>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34310416"/>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sz="1800" b="1" i="0" baseline="0">
                <a:effectLst/>
              </a:rPr>
              <a:t>ENVIROMENTAL IMPACT (ADPE A1-A3, A4, A5) PER M2 AND YEAR</a:t>
            </a:r>
            <a:endParaRPr lang="es-ES">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 - Tables'!$BW$128:$BW$129</c:f>
              <c:strCache>
                <c:ptCount val="2"/>
                <c:pt idx="0">
                  <c:v>Tipo de Impacto</c:v>
                </c:pt>
                <c:pt idx="1">
                  <c:v>A1-A3</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Tables'!$BV$130:$BV$134</c:f>
              <c:strCache>
                <c:ptCount val="5"/>
                <c:pt idx="0">
                  <c:v>FOUNDATIONS</c:v>
                </c:pt>
                <c:pt idx="1">
                  <c:v>STRUCTURAL ELEMENTS</c:v>
                </c:pt>
                <c:pt idx="2">
                  <c:v>NON-LOAD BEARING ELEMENTS</c:v>
                </c:pt>
                <c:pt idx="3">
                  <c:v>FECADES</c:v>
                </c:pt>
                <c:pt idx="4">
                  <c:v>ROOFS</c:v>
                </c:pt>
              </c:strCache>
            </c:strRef>
          </c:cat>
          <c:val>
            <c:numRef>
              <c:f>'Results - Tables'!$BW$130:$BW$134</c:f>
              <c:numCache>
                <c:formatCode>0.00E+00</c:formatCode>
                <c:ptCount val="5"/>
                <c:pt idx="0">
                  <c:v>6.7938703706896563E-7</c:v>
                </c:pt>
                <c:pt idx="1">
                  <c:v>1.402743020503262E-6</c:v>
                </c:pt>
                <c:pt idx="2">
                  <c:v>2.1803302039993424E-5</c:v>
                </c:pt>
                <c:pt idx="3">
                  <c:v>7.8597949112031186E-4</c:v>
                </c:pt>
                <c:pt idx="4">
                  <c:v>9.9177000812937736E-6</c:v>
                </c:pt>
              </c:numCache>
            </c:numRef>
          </c:val>
          <c:extLst>
            <c:ext xmlns:c16="http://schemas.microsoft.com/office/drawing/2014/chart" uri="{C3380CC4-5D6E-409C-BE32-E72D297353CC}">
              <c16:uniqueId val="{00000000-4E5F-42A0-9B62-D583DFDBC824}"/>
            </c:ext>
          </c:extLst>
        </c:ser>
        <c:ser>
          <c:idx val="1"/>
          <c:order val="1"/>
          <c:tx>
            <c:strRef>
              <c:f>'Results - Tables'!$BX$128:$BX$129</c:f>
              <c:strCache>
                <c:ptCount val="2"/>
                <c:pt idx="0">
                  <c:v>Tipo de Impacto</c:v>
                </c:pt>
                <c:pt idx="1">
                  <c:v>A4</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Tables'!$BV$130:$BV$134</c:f>
              <c:strCache>
                <c:ptCount val="5"/>
                <c:pt idx="0">
                  <c:v>FOUNDATIONS</c:v>
                </c:pt>
                <c:pt idx="1">
                  <c:v>STRUCTURAL ELEMENTS</c:v>
                </c:pt>
                <c:pt idx="2">
                  <c:v>NON-LOAD BEARING ELEMENTS</c:v>
                </c:pt>
                <c:pt idx="3">
                  <c:v>FECADES</c:v>
                </c:pt>
                <c:pt idx="4">
                  <c:v>ROOFS</c:v>
                </c:pt>
              </c:strCache>
            </c:strRef>
          </c:cat>
          <c:val>
            <c:numRef>
              <c:f>'Results - Tables'!$BX$130:$BX$134</c:f>
              <c:numCache>
                <c:formatCode>0.00E+00</c:formatCode>
                <c:ptCount val="5"/>
                <c:pt idx="0">
                  <c:v>2.5226249720410068E-8</c:v>
                </c:pt>
                <c:pt idx="1">
                  <c:v>6.35806357564461E-8</c:v>
                </c:pt>
                <c:pt idx="2">
                  <c:v>1.934906624722431E-5</c:v>
                </c:pt>
                <c:pt idx="3">
                  <c:v>4.8486926739293193E-7</c:v>
                </c:pt>
                <c:pt idx="4">
                  <c:v>1.436446069524821E-6</c:v>
                </c:pt>
              </c:numCache>
            </c:numRef>
          </c:val>
          <c:extLst>
            <c:ext xmlns:c16="http://schemas.microsoft.com/office/drawing/2014/chart" uri="{C3380CC4-5D6E-409C-BE32-E72D297353CC}">
              <c16:uniqueId val="{00000001-4E5F-42A0-9B62-D583DFDBC824}"/>
            </c:ext>
          </c:extLst>
        </c:ser>
        <c:ser>
          <c:idx val="2"/>
          <c:order val="2"/>
          <c:tx>
            <c:strRef>
              <c:f>'Results - Tables'!$BY$128:$BY$129</c:f>
              <c:strCache>
                <c:ptCount val="2"/>
                <c:pt idx="0">
                  <c:v>Tipo de Impacto</c:v>
                </c:pt>
                <c:pt idx="1">
                  <c:v>A5</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Tables'!$BV$130:$BV$134</c:f>
              <c:strCache>
                <c:ptCount val="5"/>
                <c:pt idx="0">
                  <c:v>FOUNDATIONS</c:v>
                </c:pt>
                <c:pt idx="1">
                  <c:v>STRUCTURAL ELEMENTS</c:v>
                </c:pt>
                <c:pt idx="2">
                  <c:v>NON-LOAD BEARING ELEMENTS</c:v>
                </c:pt>
                <c:pt idx="3">
                  <c:v>FECADES</c:v>
                </c:pt>
                <c:pt idx="4">
                  <c:v>ROOFS</c:v>
                </c:pt>
              </c:strCache>
            </c:strRef>
          </c:cat>
          <c:val>
            <c:numRef>
              <c:f>'Results - Tables'!$BY$130:$BY$134</c:f>
              <c:numCache>
                <c:formatCode>0.00E+00</c:formatCode>
                <c:ptCount val="5"/>
                <c:pt idx="0">
                  <c:v>3.3222675250931968E-9</c:v>
                </c:pt>
                <c:pt idx="1">
                  <c:v>2.7034137134513825E-8</c:v>
                </c:pt>
                <c:pt idx="2">
                  <c:v>2.2666725664852519E-7</c:v>
                </c:pt>
                <c:pt idx="3">
                  <c:v>4.4862115280170317E-9</c:v>
                </c:pt>
                <c:pt idx="4">
                  <c:v>1.0953307510155766E-7</c:v>
                </c:pt>
              </c:numCache>
            </c:numRef>
          </c:val>
          <c:extLst>
            <c:ext xmlns:c16="http://schemas.microsoft.com/office/drawing/2014/chart" uri="{C3380CC4-5D6E-409C-BE32-E72D297353CC}">
              <c16:uniqueId val="{00000002-4E5F-42A0-9B62-D583DFDBC824}"/>
            </c:ext>
          </c:extLst>
        </c:ser>
        <c:dLbls>
          <c:dLblPos val="ctr"/>
          <c:showLegendKey val="0"/>
          <c:showVal val="1"/>
          <c:showCatName val="0"/>
          <c:showSerName val="0"/>
          <c:showPercent val="0"/>
          <c:showBubbleSize val="0"/>
        </c:dLbls>
        <c:gapWidth val="150"/>
        <c:overlap val="100"/>
        <c:axId val="1704957248"/>
        <c:axId val="1704967232"/>
      </c:barChart>
      <c:catAx>
        <c:axId val="17049572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704967232"/>
        <c:crosses val="autoZero"/>
        <c:auto val="1"/>
        <c:lblAlgn val="ctr"/>
        <c:lblOffset val="100"/>
        <c:noMultiLvlLbl val="0"/>
      </c:catAx>
      <c:valAx>
        <c:axId val="170496723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ES"/>
                  <a:t>(kg </a:t>
                </a:r>
                <a:r>
                  <a:rPr lang="es-ES" sz="1100"/>
                  <a:t>Sb-eq</a:t>
                </a:r>
                <a:r>
                  <a:rPr lang="es-ES"/>
                  <a:t>./m2/yr) </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0.00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170495724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sz="1800" b="1" i="0" baseline="0">
                <a:effectLst/>
              </a:rPr>
              <a:t>ENVIROMENTAL IMPACT (AP A1-A3, A4, A5) PER M2 AND YEAR</a:t>
            </a:r>
            <a:endParaRPr lang="es-ES">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 - Tables'!$CB$112:$CB$113</c:f>
              <c:strCache>
                <c:ptCount val="2"/>
                <c:pt idx="0">
                  <c:v>Tipo de Impacto</c:v>
                </c:pt>
                <c:pt idx="1">
                  <c:v>A1-A3</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Tables'!$CA$114:$CA$118</c:f>
              <c:strCache>
                <c:ptCount val="5"/>
                <c:pt idx="0">
                  <c:v>FOUNDATIONS</c:v>
                </c:pt>
                <c:pt idx="1">
                  <c:v>STRUCTURAL ELEMENTS</c:v>
                </c:pt>
                <c:pt idx="2">
                  <c:v>NON-LOAD BEARING ELEMENTS</c:v>
                </c:pt>
                <c:pt idx="3">
                  <c:v>FECADES</c:v>
                </c:pt>
                <c:pt idx="4">
                  <c:v>ROOFS</c:v>
                </c:pt>
              </c:strCache>
            </c:strRef>
          </c:cat>
          <c:val>
            <c:numRef>
              <c:f>'Results - Tables'!$CB$114:$CB$118</c:f>
              <c:numCache>
                <c:formatCode>0.00E+00</c:formatCode>
                <c:ptCount val="5"/>
                <c:pt idx="0">
                  <c:v>3.0054355079217154E-3</c:v>
                </c:pt>
                <c:pt idx="1">
                  <c:v>5.0560492388940659E-3</c:v>
                </c:pt>
                <c:pt idx="2">
                  <c:v>6.9506175635787844E-3</c:v>
                </c:pt>
                <c:pt idx="3">
                  <c:v>9.1286523207483542E-3</c:v>
                </c:pt>
                <c:pt idx="4">
                  <c:v>4.5291415496108156E-3</c:v>
                </c:pt>
              </c:numCache>
            </c:numRef>
          </c:val>
          <c:extLst>
            <c:ext xmlns:c16="http://schemas.microsoft.com/office/drawing/2014/chart" uri="{C3380CC4-5D6E-409C-BE32-E72D297353CC}">
              <c16:uniqueId val="{00000000-F8E2-49D5-80FB-EFBB634A1311}"/>
            </c:ext>
          </c:extLst>
        </c:ser>
        <c:ser>
          <c:idx val="1"/>
          <c:order val="1"/>
          <c:tx>
            <c:strRef>
              <c:f>'Results - Tables'!$CC$112:$CC$113</c:f>
              <c:strCache>
                <c:ptCount val="2"/>
                <c:pt idx="0">
                  <c:v>Tipo de Impacto</c:v>
                </c:pt>
                <c:pt idx="1">
                  <c:v>A4</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Tables'!$CA$114:$CA$118</c:f>
              <c:strCache>
                <c:ptCount val="5"/>
                <c:pt idx="0">
                  <c:v>FOUNDATIONS</c:v>
                </c:pt>
                <c:pt idx="1">
                  <c:v>STRUCTURAL ELEMENTS</c:v>
                </c:pt>
                <c:pt idx="2">
                  <c:v>NON-LOAD BEARING ELEMENTS</c:v>
                </c:pt>
                <c:pt idx="3">
                  <c:v>FECADES</c:v>
                </c:pt>
                <c:pt idx="4">
                  <c:v>ROOFS</c:v>
                </c:pt>
              </c:strCache>
            </c:strRef>
          </c:cat>
          <c:val>
            <c:numRef>
              <c:f>'Results - Tables'!$CC$114:$CC$118</c:f>
              <c:numCache>
                <c:formatCode>0.00E+00</c:formatCode>
                <c:ptCount val="5"/>
                <c:pt idx="0">
                  <c:v>1.329433122087605E-4</c:v>
                </c:pt>
                <c:pt idx="1">
                  <c:v>2.8318187713575647E-4</c:v>
                </c:pt>
                <c:pt idx="2">
                  <c:v>1.2216960805230708E-3</c:v>
                </c:pt>
                <c:pt idx="3">
                  <c:v>1.4237210602479077E-4</c:v>
                </c:pt>
                <c:pt idx="4">
                  <c:v>1.8958465173719372E-4</c:v>
                </c:pt>
              </c:numCache>
            </c:numRef>
          </c:val>
          <c:extLst>
            <c:ext xmlns:c16="http://schemas.microsoft.com/office/drawing/2014/chart" uri="{C3380CC4-5D6E-409C-BE32-E72D297353CC}">
              <c16:uniqueId val="{00000001-F8E2-49D5-80FB-EFBB634A1311}"/>
            </c:ext>
          </c:extLst>
        </c:ser>
        <c:ser>
          <c:idx val="2"/>
          <c:order val="2"/>
          <c:tx>
            <c:strRef>
              <c:f>'Results - Tables'!$CD$112:$CD$113</c:f>
              <c:strCache>
                <c:ptCount val="2"/>
                <c:pt idx="0">
                  <c:v>Tipo de Impacto</c:v>
                </c:pt>
                <c:pt idx="1">
                  <c:v>A5</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Tables'!$CA$114:$CA$118</c:f>
              <c:strCache>
                <c:ptCount val="5"/>
                <c:pt idx="0">
                  <c:v>FOUNDATIONS</c:v>
                </c:pt>
                <c:pt idx="1">
                  <c:v>STRUCTURAL ELEMENTS</c:v>
                </c:pt>
                <c:pt idx="2">
                  <c:v>NON-LOAD BEARING ELEMENTS</c:v>
                </c:pt>
                <c:pt idx="3">
                  <c:v>FECADES</c:v>
                </c:pt>
                <c:pt idx="4">
                  <c:v>ROOFS</c:v>
                </c:pt>
              </c:strCache>
            </c:strRef>
          </c:cat>
          <c:val>
            <c:numRef>
              <c:f>'Results - Tables'!$CD$114:$CD$118</c:f>
              <c:numCache>
                <c:formatCode>0.00E+00</c:formatCode>
                <c:ptCount val="5"/>
                <c:pt idx="0">
                  <c:v>1.7313765068178706E-5</c:v>
                </c:pt>
                <c:pt idx="1">
                  <c:v>2.4498503521944705E-5</c:v>
                </c:pt>
                <c:pt idx="2">
                  <c:v>8.1882847625138521E-5</c:v>
                </c:pt>
                <c:pt idx="3">
                  <c:v>9.4245903887693144E-5</c:v>
                </c:pt>
                <c:pt idx="4">
                  <c:v>1.3400498537389092E-4</c:v>
                </c:pt>
              </c:numCache>
            </c:numRef>
          </c:val>
          <c:extLst>
            <c:ext xmlns:c16="http://schemas.microsoft.com/office/drawing/2014/chart" uri="{C3380CC4-5D6E-409C-BE32-E72D297353CC}">
              <c16:uniqueId val="{00000002-F8E2-49D5-80FB-EFBB634A1311}"/>
            </c:ext>
          </c:extLst>
        </c:ser>
        <c:dLbls>
          <c:dLblPos val="ctr"/>
          <c:showLegendKey val="0"/>
          <c:showVal val="1"/>
          <c:showCatName val="0"/>
          <c:showSerName val="0"/>
          <c:showPercent val="0"/>
          <c:showBubbleSize val="0"/>
        </c:dLbls>
        <c:gapWidth val="150"/>
        <c:overlap val="100"/>
        <c:axId val="1704959328"/>
        <c:axId val="1704968064"/>
      </c:barChart>
      <c:catAx>
        <c:axId val="17049593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704968064"/>
        <c:crosses val="autoZero"/>
        <c:auto val="1"/>
        <c:lblAlgn val="ctr"/>
        <c:lblOffset val="100"/>
        <c:noMultiLvlLbl val="0"/>
      </c:catAx>
      <c:valAx>
        <c:axId val="1704968064"/>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ES" sz="1100"/>
                  <a:t>(kg SO2-eq./m2/yr)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0.00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170495932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sz="1800" b="1" i="0" baseline="0">
                <a:effectLst/>
              </a:rPr>
              <a:t>ENVIROMENTAL IMPACT (EP A1-A3, A4, A5) PER M2 AND YEAR</a:t>
            </a:r>
            <a:endParaRPr lang="es-ES">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 - Tables'!$CB$120:$CB$121</c:f>
              <c:strCache>
                <c:ptCount val="2"/>
                <c:pt idx="0">
                  <c:v>Tipo de Impacto</c:v>
                </c:pt>
                <c:pt idx="1">
                  <c:v>A1-A3</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Tables'!$CA$122:$CA$126</c:f>
              <c:strCache>
                <c:ptCount val="5"/>
                <c:pt idx="0">
                  <c:v>FOUNDATIONS</c:v>
                </c:pt>
                <c:pt idx="1">
                  <c:v>STRUCTURAL ELEMENTS</c:v>
                </c:pt>
                <c:pt idx="2">
                  <c:v>NON-LOAD BEARING ELEMENTS</c:v>
                </c:pt>
                <c:pt idx="3">
                  <c:v>FECADES</c:v>
                </c:pt>
                <c:pt idx="4">
                  <c:v>ROOFS</c:v>
                </c:pt>
              </c:strCache>
            </c:strRef>
          </c:cat>
          <c:val>
            <c:numRef>
              <c:f>'Results - Tables'!$CB$122:$CB$126</c:f>
              <c:numCache>
                <c:formatCode>0.00E+00</c:formatCode>
                <c:ptCount val="5"/>
                <c:pt idx="0">
                  <c:v>9.7981367287977637E-4</c:v>
                </c:pt>
                <c:pt idx="1">
                  <c:v>1.8033888226157194E-3</c:v>
                </c:pt>
                <c:pt idx="2">
                  <c:v>1.3373177081623154E-3</c:v>
                </c:pt>
                <c:pt idx="3">
                  <c:v>1.5292094662505203E-3</c:v>
                </c:pt>
                <c:pt idx="4">
                  <c:v>4.3348939078429746E-4</c:v>
                </c:pt>
              </c:numCache>
            </c:numRef>
          </c:val>
          <c:extLst>
            <c:ext xmlns:c16="http://schemas.microsoft.com/office/drawing/2014/chart" uri="{C3380CC4-5D6E-409C-BE32-E72D297353CC}">
              <c16:uniqueId val="{00000000-ED6C-41DE-AA44-6DF79CC61721}"/>
            </c:ext>
          </c:extLst>
        </c:ser>
        <c:ser>
          <c:idx val="1"/>
          <c:order val="1"/>
          <c:tx>
            <c:strRef>
              <c:f>'Results - Tables'!$CC$120:$CC$121</c:f>
              <c:strCache>
                <c:ptCount val="2"/>
                <c:pt idx="0">
                  <c:v>Tipo de Impacto</c:v>
                </c:pt>
                <c:pt idx="1">
                  <c:v>A4</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Tables'!$CA$122:$CA$126</c:f>
              <c:strCache>
                <c:ptCount val="5"/>
                <c:pt idx="0">
                  <c:v>FOUNDATIONS</c:v>
                </c:pt>
                <c:pt idx="1">
                  <c:v>STRUCTURAL ELEMENTS</c:v>
                </c:pt>
                <c:pt idx="2">
                  <c:v>NON-LOAD BEARING ELEMENTS</c:v>
                </c:pt>
                <c:pt idx="3">
                  <c:v>FECADES</c:v>
                </c:pt>
                <c:pt idx="4">
                  <c:v>ROOFS</c:v>
                </c:pt>
              </c:strCache>
            </c:strRef>
          </c:cat>
          <c:val>
            <c:numRef>
              <c:f>'Results - Tables'!$CC$122:$CC$126</c:f>
              <c:numCache>
                <c:formatCode>0.00E+00</c:formatCode>
                <c:ptCount val="5"/>
                <c:pt idx="0">
                  <c:v>2.5867726449207827E-5</c:v>
                </c:pt>
                <c:pt idx="1">
                  <c:v>2.2222987185461322E-4</c:v>
                </c:pt>
                <c:pt idx="2">
                  <c:v>2.478526155500942E-4</c:v>
                </c:pt>
                <c:pt idx="3">
                  <c:v>2.4334369783709324E-5</c:v>
                </c:pt>
                <c:pt idx="4">
                  <c:v>3.6366970740906323E-5</c:v>
                </c:pt>
              </c:numCache>
            </c:numRef>
          </c:val>
          <c:extLst>
            <c:ext xmlns:c16="http://schemas.microsoft.com/office/drawing/2014/chart" uri="{C3380CC4-5D6E-409C-BE32-E72D297353CC}">
              <c16:uniqueId val="{00000001-ED6C-41DE-AA44-6DF79CC61721}"/>
            </c:ext>
          </c:extLst>
        </c:ser>
        <c:ser>
          <c:idx val="2"/>
          <c:order val="2"/>
          <c:tx>
            <c:strRef>
              <c:f>'Results - Tables'!$CD$120:$CD$121</c:f>
              <c:strCache>
                <c:ptCount val="2"/>
                <c:pt idx="0">
                  <c:v>Tipo de Impacto</c:v>
                </c:pt>
                <c:pt idx="1">
                  <c:v>A5</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Tables'!$CA$122:$CA$126</c:f>
              <c:strCache>
                <c:ptCount val="5"/>
                <c:pt idx="0">
                  <c:v>FOUNDATIONS</c:v>
                </c:pt>
                <c:pt idx="1">
                  <c:v>STRUCTURAL ELEMENTS</c:v>
                </c:pt>
                <c:pt idx="2">
                  <c:v>NON-LOAD BEARING ELEMENTS</c:v>
                </c:pt>
                <c:pt idx="3">
                  <c:v>FECADES</c:v>
                </c:pt>
                <c:pt idx="4">
                  <c:v>ROOFS</c:v>
                </c:pt>
              </c:strCache>
            </c:strRef>
          </c:cat>
          <c:val>
            <c:numRef>
              <c:f>'Results - Tables'!$CD$122:$CD$126</c:f>
              <c:numCache>
                <c:formatCode>0.00E+00</c:formatCode>
                <c:ptCount val="5"/>
                <c:pt idx="0">
                  <c:v>1.7632784115027961E-6</c:v>
                </c:pt>
                <c:pt idx="1">
                  <c:v>9.806809069294813E-5</c:v>
                </c:pt>
                <c:pt idx="2">
                  <c:v>1.9292291469237191E-5</c:v>
                </c:pt>
                <c:pt idx="3">
                  <c:v>1.176462161940785E-5</c:v>
                </c:pt>
                <c:pt idx="4">
                  <c:v>8.7766863148492448E-6</c:v>
                </c:pt>
              </c:numCache>
            </c:numRef>
          </c:val>
          <c:extLst>
            <c:ext xmlns:c16="http://schemas.microsoft.com/office/drawing/2014/chart" uri="{C3380CC4-5D6E-409C-BE32-E72D297353CC}">
              <c16:uniqueId val="{00000002-ED6C-41DE-AA44-6DF79CC61721}"/>
            </c:ext>
          </c:extLst>
        </c:ser>
        <c:dLbls>
          <c:dLblPos val="ctr"/>
          <c:showLegendKey val="0"/>
          <c:showVal val="1"/>
          <c:showCatName val="0"/>
          <c:showSerName val="0"/>
          <c:showPercent val="0"/>
          <c:showBubbleSize val="0"/>
        </c:dLbls>
        <c:gapWidth val="150"/>
        <c:overlap val="100"/>
        <c:axId val="1704968480"/>
        <c:axId val="1704974304"/>
      </c:barChart>
      <c:catAx>
        <c:axId val="17049684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704974304"/>
        <c:crosses val="autoZero"/>
        <c:auto val="1"/>
        <c:lblAlgn val="ctr"/>
        <c:lblOffset val="100"/>
        <c:noMultiLvlLbl val="0"/>
      </c:catAx>
      <c:valAx>
        <c:axId val="1704974304"/>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ES" sz="1100"/>
                  <a:t>(kg Phosphat-eq./m2/yr)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0.00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170496848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sz="1800" b="1" i="0" baseline="0">
                <a:effectLst/>
              </a:rPr>
              <a:t>ENVIROMENTAL IMPACT (POCP A1-A3, A4, A5) PER M2 AND YEAR</a:t>
            </a:r>
            <a:endParaRPr lang="es-ES">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8.8577056318263014E-2"/>
          <c:y val="0.14193915544146654"/>
          <c:w val="0.90431636339116817"/>
          <c:h val="0.77396711590245904"/>
        </c:manualLayout>
      </c:layout>
      <c:barChart>
        <c:barDir val="col"/>
        <c:grouping val="stacked"/>
        <c:varyColors val="0"/>
        <c:ser>
          <c:idx val="0"/>
          <c:order val="0"/>
          <c:tx>
            <c:strRef>
              <c:f>'Results - Tables'!$CB$128:$CB$129</c:f>
              <c:strCache>
                <c:ptCount val="2"/>
                <c:pt idx="0">
                  <c:v>Tipo de Impacto</c:v>
                </c:pt>
                <c:pt idx="1">
                  <c:v>A1-A3</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Tables'!$CA$130:$CA$134</c:f>
              <c:strCache>
                <c:ptCount val="5"/>
                <c:pt idx="0">
                  <c:v>FOUNDATIONS</c:v>
                </c:pt>
                <c:pt idx="1">
                  <c:v>STRUCTURAL ELEMENTS</c:v>
                </c:pt>
                <c:pt idx="2">
                  <c:v>NON-LOAD BEARING ELEMENTS</c:v>
                </c:pt>
                <c:pt idx="3">
                  <c:v>FECADES</c:v>
                </c:pt>
                <c:pt idx="4">
                  <c:v>ROOFS</c:v>
                </c:pt>
              </c:strCache>
            </c:strRef>
          </c:cat>
          <c:val>
            <c:numRef>
              <c:f>'Results - Tables'!$CB$130:$CB$134</c:f>
              <c:numCache>
                <c:formatCode>0.00E+00</c:formatCode>
                <c:ptCount val="5"/>
                <c:pt idx="0">
                  <c:v>3.1238094035414727E-4</c:v>
                </c:pt>
                <c:pt idx="1">
                  <c:v>2.8304270503261883E-4</c:v>
                </c:pt>
                <c:pt idx="2">
                  <c:v>3.2088579007992142E-3</c:v>
                </c:pt>
                <c:pt idx="3">
                  <c:v>7.9335028739539282E-4</c:v>
                </c:pt>
                <c:pt idx="4">
                  <c:v>1.4228290253338043E-3</c:v>
                </c:pt>
              </c:numCache>
            </c:numRef>
          </c:val>
          <c:extLst>
            <c:ext xmlns:c16="http://schemas.microsoft.com/office/drawing/2014/chart" uri="{C3380CC4-5D6E-409C-BE32-E72D297353CC}">
              <c16:uniqueId val="{00000000-1B04-4CCF-8095-3CFB27727D63}"/>
            </c:ext>
          </c:extLst>
        </c:ser>
        <c:ser>
          <c:idx val="1"/>
          <c:order val="1"/>
          <c:tx>
            <c:strRef>
              <c:f>'Results - Tables'!$CC$128:$CC$129</c:f>
              <c:strCache>
                <c:ptCount val="2"/>
                <c:pt idx="0">
                  <c:v>Tipo de Impacto</c:v>
                </c:pt>
                <c:pt idx="1">
                  <c:v>A4</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Tables'!$CA$130:$CA$134</c:f>
              <c:strCache>
                <c:ptCount val="5"/>
                <c:pt idx="0">
                  <c:v>FOUNDATIONS</c:v>
                </c:pt>
                <c:pt idx="1">
                  <c:v>STRUCTURAL ELEMENTS</c:v>
                </c:pt>
                <c:pt idx="2">
                  <c:v>NON-LOAD BEARING ELEMENTS</c:v>
                </c:pt>
                <c:pt idx="3">
                  <c:v>FECADES</c:v>
                </c:pt>
                <c:pt idx="4">
                  <c:v>ROOFS</c:v>
                </c:pt>
              </c:strCache>
            </c:strRef>
          </c:cat>
          <c:val>
            <c:numRef>
              <c:f>'Results - Tables'!$CC$130:$CC$134</c:f>
              <c:numCache>
                <c:formatCode>0.00E+00</c:formatCode>
                <c:ptCount val="5"/>
                <c:pt idx="0">
                  <c:v>-1.172251095060578E-5</c:v>
                </c:pt>
                <c:pt idx="1">
                  <c:v>-2.5053596536191364E-4</c:v>
                </c:pt>
                <c:pt idx="2">
                  <c:v>1.8542371472901156E-4</c:v>
                </c:pt>
                <c:pt idx="3">
                  <c:v>3.6164490565296706E-5</c:v>
                </c:pt>
                <c:pt idx="4">
                  <c:v>8.869009682950693E-5</c:v>
                </c:pt>
              </c:numCache>
            </c:numRef>
          </c:val>
          <c:extLst>
            <c:ext xmlns:c16="http://schemas.microsoft.com/office/drawing/2014/chart" uri="{C3380CC4-5D6E-409C-BE32-E72D297353CC}">
              <c16:uniqueId val="{00000001-1B04-4CCF-8095-3CFB27727D63}"/>
            </c:ext>
          </c:extLst>
        </c:ser>
        <c:ser>
          <c:idx val="2"/>
          <c:order val="2"/>
          <c:tx>
            <c:strRef>
              <c:f>'Results - Tables'!$CD$128:$CD$129</c:f>
              <c:strCache>
                <c:ptCount val="2"/>
                <c:pt idx="0">
                  <c:v>Tipo de Impacto</c:v>
                </c:pt>
                <c:pt idx="1">
                  <c:v>A5</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Tables'!$CA$130:$CA$134</c:f>
              <c:strCache>
                <c:ptCount val="5"/>
                <c:pt idx="0">
                  <c:v>FOUNDATIONS</c:v>
                </c:pt>
                <c:pt idx="1">
                  <c:v>STRUCTURAL ELEMENTS</c:v>
                </c:pt>
                <c:pt idx="2">
                  <c:v>NON-LOAD BEARING ELEMENTS</c:v>
                </c:pt>
                <c:pt idx="3">
                  <c:v>FECADES</c:v>
                </c:pt>
                <c:pt idx="4">
                  <c:v>ROOFS</c:v>
                </c:pt>
              </c:strCache>
            </c:strRef>
          </c:cat>
          <c:val>
            <c:numRef>
              <c:f>'Results - Tables'!$CD$130:$CD$134</c:f>
              <c:numCache>
                <c:formatCode>0.00E+00</c:formatCode>
                <c:ptCount val="5"/>
                <c:pt idx="0">
                  <c:v>1.8880112112443405E-5</c:v>
                </c:pt>
                <c:pt idx="1">
                  <c:v>6.2140621459397337E-7</c:v>
                </c:pt>
                <c:pt idx="2">
                  <c:v>4.0260191200556246E-6</c:v>
                </c:pt>
                <c:pt idx="3">
                  <c:v>3.090373709820841E-5</c:v>
                </c:pt>
                <c:pt idx="4">
                  <c:v>6.9600675319183737E-5</c:v>
                </c:pt>
              </c:numCache>
            </c:numRef>
          </c:val>
          <c:extLst>
            <c:ext xmlns:c16="http://schemas.microsoft.com/office/drawing/2014/chart" uri="{C3380CC4-5D6E-409C-BE32-E72D297353CC}">
              <c16:uniqueId val="{00000002-1B04-4CCF-8095-3CFB27727D63}"/>
            </c:ext>
          </c:extLst>
        </c:ser>
        <c:dLbls>
          <c:dLblPos val="ctr"/>
          <c:showLegendKey val="0"/>
          <c:showVal val="1"/>
          <c:showCatName val="0"/>
          <c:showSerName val="0"/>
          <c:showPercent val="0"/>
          <c:showBubbleSize val="0"/>
        </c:dLbls>
        <c:gapWidth val="150"/>
        <c:overlap val="100"/>
        <c:axId val="1485568176"/>
        <c:axId val="1485570256"/>
      </c:barChart>
      <c:catAx>
        <c:axId val="14855681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485570256"/>
        <c:crosses val="autoZero"/>
        <c:auto val="1"/>
        <c:lblAlgn val="ctr"/>
        <c:lblOffset val="100"/>
        <c:noMultiLvlLbl val="0"/>
      </c:catAx>
      <c:valAx>
        <c:axId val="1485570256"/>
        <c:scaling>
          <c:orientation val="minMax"/>
          <c:max val="3.5000000000000009E-3"/>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ES" sz="1100"/>
                  <a:t>(kg Ethen-eq./m2/yr)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0.00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1485568176"/>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sz="1800" b="1" i="0" baseline="0">
                <a:effectLst/>
              </a:rPr>
              <a:t>ENVIROMENTAL IMPACT (ODP A1-A3, A4, A5) PER M2 AND YEAR</a:t>
            </a:r>
            <a:endParaRPr lang="es-ES">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6.9154740900186432E-2"/>
          <c:y val="0.15926993497149386"/>
          <c:w val="0.90712506032330265"/>
          <c:h val="0.69019632180252233"/>
        </c:manualLayout>
      </c:layout>
      <c:barChart>
        <c:barDir val="col"/>
        <c:grouping val="stacked"/>
        <c:varyColors val="0"/>
        <c:ser>
          <c:idx val="0"/>
          <c:order val="0"/>
          <c:tx>
            <c:strRef>
              <c:f>'Results - Tables'!$CB$136:$CB$137</c:f>
              <c:strCache>
                <c:ptCount val="2"/>
                <c:pt idx="0">
                  <c:v>Tipo de Impacto</c:v>
                </c:pt>
                <c:pt idx="1">
                  <c:v>A1-A3</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Tables'!$CA$138:$CA$142</c:f>
              <c:strCache>
                <c:ptCount val="5"/>
                <c:pt idx="0">
                  <c:v>FOUNDATIONS</c:v>
                </c:pt>
                <c:pt idx="1">
                  <c:v>STRUCTURAL ELEMENTS</c:v>
                </c:pt>
                <c:pt idx="2">
                  <c:v>NON-LOAD BEARING ELEMENTS</c:v>
                </c:pt>
                <c:pt idx="3">
                  <c:v>FECADES</c:v>
                </c:pt>
                <c:pt idx="4">
                  <c:v>ROOFS</c:v>
                </c:pt>
              </c:strCache>
            </c:strRef>
          </c:cat>
          <c:val>
            <c:numRef>
              <c:f>'Results - Tables'!$CB$138:$CB$142</c:f>
              <c:numCache>
                <c:formatCode>0.00E+00</c:formatCode>
                <c:ptCount val="5"/>
                <c:pt idx="0">
                  <c:v>3.6630013506057782E-8</c:v>
                </c:pt>
                <c:pt idx="1">
                  <c:v>7.1890802420006212E-8</c:v>
                </c:pt>
                <c:pt idx="2">
                  <c:v>5.4960864701167997E-7</c:v>
                </c:pt>
                <c:pt idx="3">
                  <c:v>1.2174125482042231E-8</c:v>
                </c:pt>
                <c:pt idx="4">
                  <c:v>5.3772865626339818E-8</c:v>
                </c:pt>
              </c:numCache>
            </c:numRef>
          </c:val>
          <c:extLst>
            <c:ext xmlns:c16="http://schemas.microsoft.com/office/drawing/2014/chart" uri="{C3380CC4-5D6E-409C-BE32-E72D297353CC}">
              <c16:uniqueId val="{00000000-E4C2-4C15-8404-F26757D86431}"/>
            </c:ext>
          </c:extLst>
        </c:ser>
        <c:ser>
          <c:idx val="1"/>
          <c:order val="1"/>
          <c:tx>
            <c:strRef>
              <c:f>'Results - Tables'!$CC$136:$CC$137</c:f>
              <c:strCache>
                <c:ptCount val="2"/>
                <c:pt idx="0">
                  <c:v>Tipo de Impacto</c:v>
                </c:pt>
                <c:pt idx="1">
                  <c:v>A4</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Tables'!$CA$138:$CA$142</c:f>
              <c:strCache>
                <c:ptCount val="5"/>
                <c:pt idx="0">
                  <c:v>FOUNDATIONS</c:v>
                </c:pt>
                <c:pt idx="1">
                  <c:v>STRUCTURAL ELEMENTS</c:v>
                </c:pt>
                <c:pt idx="2">
                  <c:v>NON-LOAD BEARING ELEMENTS</c:v>
                </c:pt>
                <c:pt idx="3">
                  <c:v>FECADES</c:v>
                </c:pt>
                <c:pt idx="4">
                  <c:v>ROOFS</c:v>
                </c:pt>
              </c:strCache>
            </c:strRef>
          </c:cat>
          <c:val>
            <c:numRef>
              <c:f>'Results - Tables'!$CC$138:$CC$142</c:f>
              <c:numCache>
                <c:formatCode>0.00E+00</c:formatCode>
                <c:ptCount val="5"/>
                <c:pt idx="0">
                  <c:v>2.963685329714874E-9</c:v>
                </c:pt>
                <c:pt idx="1">
                  <c:v>6.7393822981243782E-9</c:v>
                </c:pt>
                <c:pt idx="2">
                  <c:v>5.6170924777298392E-5</c:v>
                </c:pt>
                <c:pt idx="3">
                  <c:v>1.0036653206808636E-7</c:v>
                </c:pt>
                <c:pt idx="4">
                  <c:v>2.9750531596517546E-5</c:v>
                </c:pt>
              </c:numCache>
            </c:numRef>
          </c:val>
          <c:extLst>
            <c:ext xmlns:c16="http://schemas.microsoft.com/office/drawing/2014/chart" uri="{C3380CC4-5D6E-409C-BE32-E72D297353CC}">
              <c16:uniqueId val="{00000001-E4C2-4C15-8404-F26757D86431}"/>
            </c:ext>
          </c:extLst>
        </c:ser>
        <c:ser>
          <c:idx val="2"/>
          <c:order val="2"/>
          <c:tx>
            <c:strRef>
              <c:f>'Results - Tables'!$CD$136:$CD$137</c:f>
              <c:strCache>
                <c:ptCount val="2"/>
                <c:pt idx="0">
                  <c:v>Tipo de Impacto</c:v>
                </c:pt>
                <c:pt idx="1">
                  <c:v>A5</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Tables'!$CA$138:$CA$142</c:f>
              <c:strCache>
                <c:ptCount val="5"/>
                <c:pt idx="0">
                  <c:v>FOUNDATIONS</c:v>
                </c:pt>
                <c:pt idx="1">
                  <c:v>STRUCTURAL ELEMENTS</c:v>
                </c:pt>
                <c:pt idx="2">
                  <c:v>NON-LOAD BEARING ELEMENTS</c:v>
                </c:pt>
                <c:pt idx="3">
                  <c:v>FECADES</c:v>
                </c:pt>
                <c:pt idx="4">
                  <c:v>ROOFS</c:v>
                </c:pt>
              </c:strCache>
            </c:strRef>
          </c:cat>
          <c:val>
            <c:numRef>
              <c:f>'Results - Tables'!$CD$138:$CD$142</c:f>
              <c:numCache>
                <c:formatCode>0.00E+00</c:formatCode>
                <c:ptCount val="5"/>
                <c:pt idx="0">
                  <c:v>3.4565327306465752E-10</c:v>
                </c:pt>
                <c:pt idx="1">
                  <c:v>4.8176174862317497E-11</c:v>
                </c:pt>
                <c:pt idx="2">
                  <c:v>1.7604318660821529E-9</c:v>
                </c:pt>
                <c:pt idx="3">
                  <c:v>2.2276519956067287E-10</c:v>
                </c:pt>
                <c:pt idx="4">
                  <c:v>3.6403054149261892E-9</c:v>
                </c:pt>
              </c:numCache>
            </c:numRef>
          </c:val>
          <c:extLst>
            <c:ext xmlns:c16="http://schemas.microsoft.com/office/drawing/2014/chart" uri="{C3380CC4-5D6E-409C-BE32-E72D297353CC}">
              <c16:uniqueId val="{00000002-E4C2-4C15-8404-F26757D86431}"/>
            </c:ext>
          </c:extLst>
        </c:ser>
        <c:dLbls>
          <c:dLblPos val="ctr"/>
          <c:showLegendKey val="0"/>
          <c:showVal val="1"/>
          <c:showCatName val="0"/>
          <c:showSerName val="0"/>
          <c:showPercent val="0"/>
          <c:showBubbleSize val="0"/>
        </c:dLbls>
        <c:gapWidth val="150"/>
        <c:overlap val="100"/>
        <c:axId val="1485558608"/>
        <c:axId val="1485561520"/>
      </c:barChart>
      <c:catAx>
        <c:axId val="14855586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485561520"/>
        <c:crosses val="autoZero"/>
        <c:auto val="1"/>
        <c:lblAlgn val="ctr"/>
        <c:lblOffset val="100"/>
        <c:noMultiLvlLbl val="0"/>
      </c:catAx>
      <c:valAx>
        <c:axId val="148556152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ES" sz="1100"/>
                  <a:t>(kq CFC 11-eq./m2/yr)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0.00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148555860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PERT</a:t>
            </a:r>
            <a:r>
              <a:rPr lang="es-ES" baseline="0"/>
              <a:t> COMPARATION</a:t>
            </a:r>
            <a:endParaRPr lang="es-E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 - Tables'!$BR$151</c:f>
              <c:strCache>
                <c:ptCount val="1"/>
                <c:pt idx="0">
                  <c:v>A1-A3</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Tables'!$BS$150:$BU$150</c:f>
              <c:strCache>
                <c:ptCount val="3"/>
                <c:pt idx="0">
                  <c:v>Concrete and bricks</c:v>
                </c:pt>
                <c:pt idx="1">
                  <c:v>Steel and Bricks</c:v>
                </c:pt>
                <c:pt idx="2">
                  <c:v>Timber</c:v>
                </c:pt>
              </c:strCache>
            </c:strRef>
          </c:cat>
          <c:val>
            <c:numRef>
              <c:f>'Results - Tables'!$BS$151:$BU$151</c:f>
              <c:numCache>
                <c:formatCode>General</c:formatCode>
                <c:ptCount val="3"/>
                <c:pt idx="0">
                  <c:v>12.624033287542</c:v>
                </c:pt>
                <c:pt idx="1">
                  <c:v>15.274319687290077</c:v>
                </c:pt>
                <c:pt idx="2">
                  <c:v>149.88310649699469</c:v>
                </c:pt>
              </c:numCache>
            </c:numRef>
          </c:val>
          <c:extLst>
            <c:ext xmlns:c16="http://schemas.microsoft.com/office/drawing/2014/chart" uri="{C3380CC4-5D6E-409C-BE32-E72D297353CC}">
              <c16:uniqueId val="{00000000-6AC8-44AE-9904-75B078CCA827}"/>
            </c:ext>
          </c:extLst>
        </c:ser>
        <c:ser>
          <c:idx val="1"/>
          <c:order val="1"/>
          <c:tx>
            <c:strRef>
              <c:f>'Results - Tables'!$BR$152</c:f>
              <c:strCache>
                <c:ptCount val="1"/>
                <c:pt idx="0">
                  <c:v>A4</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Tables'!$BS$150:$BU$150</c:f>
              <c:strCache>
                <c:ptCount val="3"/>
                <c:pt idx="0">
                  <c:v>Concrete and bricks</c:v>
                </c:pt>
                <c:pt idx="1">
                  <c:v>Steel and Bricks</c:v>
                </c:pt>
                <c:pt idx="2">
                  <c:v>Timber</c:v>
                </c:pt>
              </c:strCache>
            </c:strRef>
          </c:cat>
          <c:val>
            <c:numRef>
              <c:f>'Results - Tables'!$BS$152:$BU$152</c:f>
              <c:numCache>
                <c:formatCode>General</c:formatCode>
                <c:ptCount val="3"/>
                <c:pt idx="0">
                  <c:v>0.12890661344555801</c:v>
                </c:pt>
                <c:pt idx="1">
                  <c:v>0.1004176435427928</c:v>
                </c:pt>
                <c:pt idx="2">
                  <c:v>7.2195715729192977E-2</c:v>
                </c:pt>
              </c:numCache>
            </c:numRef>
          </c:val>
          <c:extLst>
            <c:ext xmlns:c16="http://schemas.microsoft.com/office/drawing/2014/chart" uri="{C3380CC4-5D6E-409C-BE32-E72D297353CC}">
              <c16:uniqueId val="{00000001-6AC8-44AE-9904-75B078CCA827}"/>
            </c:ext>
          </c:extLst>
        </c:ser>
        <c:ser>
          <c:idx val="2"/>
          <c:order val="2"/>
          <c:tx>
            <c:strRef>
              <c:f>'Results - Tables'!$BR$153</c:f>
              <c:strCache>
                <c:ptCount val="1"/>
                <c:pt idx="0">
                  <c:v>A5</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Tables'!$BS$150:$BU$150</c:f>
              <c:strCache>
                <c:ptCount val="3"/>
                <c:pt idx="0">
                  <c:v>Concrete and bricks</c:v>
                </c:pt>
                <c:pt idx="1">
                  <c:v>Steel and Bricks</c:v>
                </c:pt>
                <c:pt idx="2">
                  <c:v>Timber</c:v>
                </c:pt>
              </c:strCache>
            </c:strRef>
          </c:cat>
          <c:val>
            <c:numRef>
              <c:f>'Results - Tables'!$BS$153:$BU$153</c:f>
              <c:numCache>
                <c:formatCode>General</c:formatCode>
                <c:ptCount val="3"/>
                <c:pt idx="0">
                  <c:v>0.11387553291759425</c:v>
                </c:pt>
                <c:pt idx="1">
                  <c:v>0.11360895015738923</c:v>
                </c:pt>
                <c:pt idx="2">
                  <c:v>0.10667388769265888</c:v>
                </c:pt>
              </c:numCache>
            </c:numRef>
          </c:val>
          <c:extLst>
            <c:ext xmlns:c16="http://schemas.microsoft.com/office/drawing/2014/chart" uri="{C3380CC4-5D6E-409C-BE32-E72D297353CC}">
              <c16:uniqueId val="{00000002-6AC8-44AE-9904-75B078CCA827}"/>
            </c:ext>
          </c:extLst>
        </c:ser>
        <c:dLbls>
          <c:dLblPos val="ctr"/>
          <c:showLegendKey val="0"/>
          <c:showVal val="1"/>
          <c:showCatName val="0"/>
          <c:showSerName val="0"/>
          <c:showPercent val="0"/>
          <c:showBubbleSize val="0"/>
        </c:dLbls>
        <c:gapWidth val="150"/>
        <c:overlap val="100"/>
        <c:axId val="206638480"/>
        <c:axId val="206660528"/>
      </c:barChart>
      <c:catAx>
        <c:axId val="2066384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206660528"/>
        <c:crosses val="autoZero"/>
        <c:auto val="1"/>
        <c:lblAlgn val="ctr"/>
        <c:lblOffset val="100"/>
        <c:noMultiLvlLbl val="0"/>
      </c:catAx>
      <c:valAx>
        <c:axId val="206660528"/>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ES" sz="1100"/>
                  <a:t>()MJ/m2/year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0663848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PENRT COMPARATION</a:t>
            </a:r>
            <a:endParaRPr lang="es-ES" sz="1800" b="0" i="0" u="none" strike="noStrike" baseline="0">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0948233056688275"/>
          <c:y val="0.17092803318758082"/>
          <c:w val="0.87428578092957598"/>
          <c:h val="0.6414549129669288"/>
        </c:manualLayout>
      </c:layout>
      <c:barChart>
        <c:barDir val="col"/>
        <c:grouping val="stacked"/>
        <c:varyColors val="0"/>
        <c:ser>
          <c:idx val="0"/>
          <c:order val="0"/>
          <c:tx>
            <c:strRef>
              <c:f>'Results - Tables'!$BW$151</c:f>
              <c:strCache>
                <c:ptCount val="1"/>
                <c:pt idx="0">
                  <c:v>A1-A3</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Tables'!$BX$150:$BZ$150</c:f>
              <c:strCache>
                <c:ptCount val="3"/>
                <c:pt idx="0">
                  <c:v>Concrete and bricks</c:v>
                </c:pt>
                <c:pt idx="1">
                  <c:v>Steel and Bricks</c:v>
                </c:pt>
                <c:pt idx="2">
                  <c:v>Timber</c:v>
                </c:pt>
              </c:strCache>
            </c:strRef>
          </c:cat>
          <c:val>
            <c:numRef>
              <c:f>'Results - Tables'!$BX$151:$BZ$151</c:f>
              <c:numCache>
                <c:formatCode>General</c:formatCode>
                <c:ptCount val="3"/>
                <c:pt idx="0">
                  <c:v>93.888894040078611</c:v>
                </c:pt>
                <c:pt idx="1">
                  <c:v>121.77940206100126</c:v>
                </c:pt>
                <c:pt idx="2">
                  <c:v>81.327773209189971</c:v>
                </c:pt>
              </c:numCache>
            </c:numRef>
          </c:val>
          <c:extLst>
            <c:ext xmlns:c16="http://schemas.microsoft.com/office/drawing/2014/chart" uri="{C3380CC4-5D6E-409C-BE32-E72D297353CC}">
              <c16:uniqueId val="{00000000-EDDD-4EEC-B167-F0814010377B}"/>
            </c:ext>
          </c:extLst>
        </c:ser>
        <c:ser>
          <c:idx val="1"/>
          <c:order val="1"/>
          <c:tx>
            <c:strRef>
              <c:f>'Results - Tables'!$BW$152</c:f>
              <c:strCache>
                <c:ptCount val="1"/>
                <c:pt idx="0">
                  <c:v>A4</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Tables'!$BX$150:$BZ$150</c:f>
              <c:strCache>
                <c:ptCount val="3"/>
                <c:pt idx="0">
                  <c:v>Concrete and bricks</c:v>
                </c:pt>
                <c:pt idx="1">
                  <c:v>Steel and Bricks</c:v>
                </c:pt>
                <c:pt idx="2">
                  <c:v>Timber</c:v>
                </c:pt>
              </c:strCache>
            </c:strRef>
          </c:cat>
          <c:val>
            <c:numRef>
              <c:f>'Results - Tables'!$BX$152:$BZ$152</c:f>
              <c:numCache>
                <c:formatCode>General</c:formatCode>
                <c:ptCount val="3"/>
                <c:pt idx="0">
                  <c:v>3.4837310982059644</c:v>
                </c:pt>
                <c:pt idx="1">
                  <c:v>2.5836265797117117</c:v>
                </c:pt>
                <c:pt idx="2">
                  <c:v>9.0229150227830601</c:v>
                </c:pt>
              </c:numCache>
            </c:numRef>
          </c:val>
          <c:extLst>
            <c:ext xmlns:c16="http://schemas.microsoft.com/office/drawing/2014/chart" uri="{C3380CC4-5D6E-409C-BE32-E72D297353CC}">
              <c16:uniqueId val="{00000001-EDDD-4EEC-B167-F0814010377B}"/>
            </c:ext>
          </c:extLst>
        </c:ser>
        <c:ser>
          <c:idx val="2"/>
          <c:order val="2"/>
          <c:tx>
            <c:strRef>
              <c:f>'Results - Tables'!$BW$153</c:f>
              <c:strCache>
                <c:ptCount val="1"/>
                <c:pt idx="0">
                  <c:v>A5</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Tables'!$BX$150:$BZ$150</c:f>
              <c:strCache>
                <c:ptCount val="3"/>
                <c:pt idx="0">
                  <c:v>Concrete and bricks</c:v>
                </c:pt>
                <c:pt idx="1">
                  <c:v>Steel and Bricks</c:v>
                </c:pt>
                <c:pt idx="2">
                  <c:v>Timber</c:v>
                </c:pt>
              </c:strCache>
            </c:strRef>
          </c:cat>
          <c:val>
            <c:numRef>
              <c:f>'Results - Tables'!$BX$153:$BZ$153</c:f>
              <c:numCache>
                <c:formatCode>General</c:formatCode>
                <c:ptCount val="3"/>
                <c:pt idx="0">
                  <c:v>2.8380344157385089</c:v>
                </c:pt>
                <c:pt idx="1">
                  <c:v>2.8094351777818454</c:v>
                </c:pt>
                <c:pt idx="2">
                  <c:v>2.831082976701659</c:v>
                </c:pt>
              </c:numCache>
            </c:numRef>
          </c:val>
          <c:extLst>
            <c:ext xmlns:c16="http://schemas.microsoft.com/office/drawing/2014/chart" uri="{C3380CC4-5D6E-409C-BE32-E72D297353CC}">
              <c16:uniqueId val="{00000002-EDDD-4EEC-B167-F0814010377B}"/>
            </c:ext>
          </c:extLst>
        </c:ser>
        <c:dLbls>
          <c:dLblPos val="ctr"/>
          <c:showLegendKey val="0"/>
          <c:showVal val="1"/>
          <c:showCatName val="0"/>
          <c:showSerName val="0"/>
          <c:showPercent val="0"/>
          <c:showBubbleSize val="0"/>
        </c:dLbls>
        <c:gapWidth val="150"/>
        <c:overlap val="100"/>
        <c:axId val="206637648"/>
        <c:axId val="206651792"/>
      </c:barChart>
      <c:catAx>
        <c:axId val="2066376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206651792"/>
        <c:crosses val="autoZero"/>
        <c:auto val="1"/>
        <c:lblAlgn val="ctr"/>
        <c:lblOffset val="100"/>
        <c:noMultiLvlLbl val="0"/>
      </c:catAx>
      <c:valAx>
        <c:axId val="20665179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ES" sz="1100"/>
                  <a:t>(MJ/m2/year)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0663764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GWP COMPARATION</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 - Tables'!$CB$151</c:f>
              <c:strCache>
                <c:ptCount val="1"/>
                <c:pt idx="0">
                  <c:v>A1-A3</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Tables'!$CC$150:$CE$150</c:f>
              <c:strCache>
                <c:ptCount val="3"/>
                <c:pt idx="0">
                  <c:v>Concrete and bricks</c:v>
                </c:pt>
                <c:pt idx="1">
                  <c:v>Steel and Bricks</c:v>
                </c:pt>
                <c:pt idx="2">
                  <c:v>Timber</c:v>
                </c:pt>
              </c:strCache>
            </c:strRef>
          </c:cat>
          <c:val>
            <c:numRef>
              <c:f>'Results - Tables'!$CC$151:$CE$151</c:f>
              <c:numCache>
                <c:formatCode>General</c:formatCode>
                <c:ptCount val="3"/>
                <c:pt idx="0">
                  <c:v>10.559288541318701</c:v>
                </c:pt>
                <c:pt idx="1">
                  <c:v>11.581302606233281</c:v>
                </c:pt>
                <c:pt idx="2">
                  <c:v>-5.2205846282578658</c:v>
                </c:pt>
              </c:numCache>
            </c:numRef>
          </c:val>
          <c:extLst>
            <c:ext xmlns:c16="http://schemas.microsoft.com/office/drawing/2014/chart" uri="{C3380CC4-5D6E-409C-BE32-E72D297353CC}">
              <c16:uniqueId val="{00000000-FF3C-4B63-8DD5-C4641306C6DE}"/>
            </c:ext>
          </c:extLst>
        </c:ser>
        <c:ser>
          <c:idx val="1"/>
          <c:order val="1"/>
          <c:tx>
            <c:strRef>
              <c:f>'Results - Tables'!$CB$152</c:f>
              <c:strCache>
                <c:ptCount val="1"/>
                <c:pt idx="0">
                  <c:v>A4</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Tables'!$CC$150:$CE$150</c:f>
              <c:strCache>
                <c:ptCount val="3"/>
                <c:pt idx="0">
                  <c:v>Concrete and bricks</c:v>
                </c:pt>
                <c:pt idx="1">
                  <c:v>Steel and Bricks</c:v>
                </c:pt>
                <c:pt idx="2">
                  <c:v>Timber</c:v>
                </c:pt>
              </c:strCache>
            </c:strRef>
          </c:cat>
          <c:val>
            <c:numRef>
              <c:f>'Results - Tables'!$CC$152:$CE$152</c:f>
              <c:numCache>
                <c:formatCode>General</c:formatCode>
                <c:ptCount val="3"/>
                <c:pt idx="0">
                  <c:v>0.87907455505475318</c:v>
                </c:pt>
                <c:pt idx="1">
                  <c:v>0.8194614346209228</c:v>
                </c:pt>
                <c:pt idx="2">
                  <c:v>1.2442475436921272</c:v>
                </c:pt>
              </c:numCache>
            </c:numRef>
          </c:val>
          <c:extLst>
            <c:ext xmlns:c16="http://schemas.microsoft.com/office/drawing/2014/chart" uri="{C3380CC4-5D6E-409C-BE32-E72D297353CC}">
              <c16:uniqueId val="{00000001-FF3C-4B63-8DD5-C4641306C6DE}"/>
            </c:ext>
          </c:extLst>
        </c:ser>
        <c:ser>
          <c:idx val="2"/>
          <c:order val="2"/>
          <c:tx>
            <c:strRef>
              <c:f>'Results - Tables'!$CB$153</c:f>
              <c:strCache>
                <c:ptCount val="1"/>
                <c:pt idx="0">
                  <c:v>A5</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Tables'!$CC$150:$CE$150</c:f>
              <c:strCache>
                <c:ptCount val="3"/>
                <c:pt idx="0">
                  <c:v>Concrete and bricks</c:v>
                </c:pt>
                <c:pt idx="1">
                  <c:v>Steel and Bricks</c:v>
                </c:pt>
                <c:pt idx="2">
                  <c:v>Timber</c:v>
                </c:pt>
              </c:strCache>
            </c:strRef>
          </c:cat>
          <c:val>
            <c:numRef>
              <c:f>'Results - Tables'!$CC$153:$CE$153</c:f>
              <c:numCache>
                <c:formatCode>General</c:formatCode>
                <c:ptCount val="3"/>
                <c:pt idx="0">
                  <c:v>1.002833103475381</c:v>
                </c:pt>
                <c:pt idx="1">
                  <c:v>0.99976518641525181</c:v>
                </c:pt>
                <c:pt idx="2">
                  <c:v>0.9610336613103585</c:v>
                </c:pt>
              </c:numCache>
            </c:numRef>
          </c:val>
          <c:extLst>
            <c:ext xmlns:c16="http://schemas.microsoft.com/office/drawing/2014/chart" uri="{C3380CC4-5D6E-409C-BE32-E72D297353CC}">
              <c16:uniqueId val="{00000002-FF3C-4B63-8DD5-C4641306C6DE}"/>
            </c:ext>
          </c:extLst>
        </c:ser>
        <c:dLbls>
          <c:dLblPos val="ctr"/>
          <c:showLegendKey val="0"/>
          <c:showVal val="1"/>
          <c:showCatName val="0"/>
          <c:showSerName val="0"/>
          <c:showPercent val="0"/>
          <c:showBubbleSize val="0"/>
        </c:dLbls>
        <c:gapWidth val="150"/>
        <c:overlap val="100"/>
        <c:axId val="206642224"/>
        <c:axId val="206636400"/>
      </c:barChart>
      <c:catAx>
        <c:axId val="2066422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206636400"/>
        <c:crosses val="autoZero"/>
        <c:auto val="1"/>
        <c:lblAlgn val="ctr"/>
        <c:lblOffset val="100"/>
        <c:noMultiLvlLbl val="0"/>
      </c:catAx>
      <c:valAx>
        <c:axId val="20663640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ES" sz="1100" b="1" i="0" baseline="0">
                    <a:effectLst/>
                  </a:rPr>
                  <a:t>(kg CO2-eq./m2/yr)</a:t>
                </a:r>
                <a:endParaRPr lang="es-ES" sz="1100">
                  <a:effectLst/>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06642224"/>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TOTAL COSTS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a:outerShdw blurRad="254000" sx="102000" sy="102000" algn="ctr" rotWithShape="0">
                <a:prstClr val="black">
                  <a:alpha val="20000"/>
                </a:prstClr>
              </a:outerShdw>
            </a:effectLst>
          </c:spPr>
          <c:invertIfNegative val="0"/>
          <c:dPt>
            <c:idx val="0"/>
            <c:invertIfNegative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1D94-4172-956F-DFC52B18D27E}"/>
              </c:ext>
            </c:extLst>
          </c:dPt>
          <c:dPt>
            <c:idx val="1"/>
            <c:invertIfNegative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1D94-4172-956F-DFC52B18D27E}"/>
              </c:ext>
            </c:extLst>
          </c:dPt>
          <c:dPt>
            <c:idx val="2"/>
            <c:invertIfNegative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1D94-4172-956F-DFC52B18D27E}"/>
              </c:ext>
            </c:extLst>
          </c:dPt>
          <c:dPt>
            <c:idx val="3"/>
            <c:invertIfNegative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1D94-4172-956F-DFC52B18D27E}"/>
              </c:ext>
            </c:extLst>
          </c:dPt>
          <c:dPt>
            <c:idx val="4"/>
            <c:invertIfNegative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1D94-4172-956F-DFC52B18D27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('Results - Tables'!$D$37,'Results - Tables'!$D$64,'Results - Tables'!$D$108,'Results - Tables'!$D$126,'Results - Tables'!$D$140)</c:f>
              <c:strCache>
                <c:ptCount val="5"/>
                <c:pt idx="0">
                  <c:v>1-Total Fundations</c:v>
                </c:pt>
                <c:pt idx="1">
                  <c:v>2- Total structural elements</c:v>
                </c:pt>
                <c:pt idx="2">
                  <c:v>3-Total non-load bearing elements</c:v>
                </c:pt>
                <c:pt idx="3">
                  <c:v>4- Total facades</c:v>
                </c:pt>
                <c:pt idx="4">
                  <c:v>5-Total Roofs</c:v>
                </c:pt>
              </c:strCache>
            </c:strRef>
          </c:cat>
          <c:val>
            <c:numRef>
              <c:f>('Results - Tables'!$L$37,'Results - Tables'!$L$64,'Results - Tables'!$L$108,'Results - Tables'!$L$126,'Results - Tables'!$L$140)</c:f>
              <c:numCache>
                <c:formatCode>0.00</c:formatCode>
                <c:ptCount val="5"/>
                <c:pt idx="0">
                  <c:v>16019.91012</c:v>
                </c:pt>
                <c:pt idx="1">
                  <c:v>48981.070699999997</c:v>
                </c:pt>
                <c:pt idx="2">
                  <c:v>49141.106065246509</c:v>
                </c:pt>
                <c:pt idx="3">
                  <c:v>76016.46362617251</c:v>
                </c:pt>
                <c:pt idx="4">
                  <c:v>22345.175722452772</c:v>
                </c:pt>
              </c:numCache>
            </c:numRef>
          </c:val>
          <c:extLst>
            <c:ext xmlns:c16="http://schemas.microsoft.com/office/drawing/2014/chart" uri="{C3380CC4-5D6E-409C-BE32-E72D297353CC}">
              <c16:uniqueId val="{0000000A-1D94-4172-956F-DFC52B18D27E}"/>
            </c:ext>
          </c:extLst>
        </c:ser>
        <c:dLbls>
          <c:showLegendKey val="0"/>
          <c:showVal val="0"/>
          <c:showCatName val="0"/>
          <c:showSerName val="0"/>
          <c:showPercent val="0"/>
          <c:showBubbleSize val="0"/>
        </c:dLbls>
        <c:gapWidth val="100"/>
        <c:axId val="1154230432"/>
        <c:axId val="1154216992"/>
      </c:barChart>
      <c:valAx>
        <c:axId val="115421699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1154230432"/>
        <c:crosses val="autoZero"/>
        <c:crossBetween val="between"/>
      </c:valAx>
      <c:catAx>
        <c:axId val="1154230432"/>
        <c:scaling>
          <c:orientation val="minMax"/>
        </c:scaling>
        <c:delete val="0"/>
        <c:axPos val="l"/>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154216992"/>
        <c:crosses val="autoZero"/>
        <c:auto val="1"/>
        <c:lblAlgn val="ctr"/>
        <c:lblOffset val="100"/>
        <c:noMultiLvlLbl val="0"/>
      </c:catAx>
      <c:spPr>
        <a:noFill/>
        <a:ln>
          <a:noFill/>
        </a:ln>
        <a:effectLst/>
      </c:spPr>
    </c:plotArea>
    <c:legend>
      <c:legendPos val="b"/>
      <c:layout>
        <c:manualLayout>
          <c:xMode val="edge"/>
          <c:yMode val="edge"/>
          <c:x val="5.0000021080985134E-2"/>
          <c:y val="0.91095238240527188"/>
          <c:w val="0.8699608745109314"/>
          <c:h val="5.1509727684441696E-2"/>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4803149606299213" l="0.70866141732283472" r="0.70866141732283472" t="0.74803149606299213" header="0.31496062992125984" footer="0.31496062992125984"/>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TOTAL IMPACT PER AREA (PERT A1-A3)</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14378395922864"/>
          <c:y val="0.12151577008601658"/>
          <c:w val="0.86659663380365215"/>
          <c:h val="0.66172427509348763"/>
        </c:manualLayout>
      </c:layout>
      <c:barChart>
        <c:barDir val="col"/>
        <c:grouping val="clustered"/>
        <c:varyColors val="0"/>
        <c:ser>
          <c:idx val="0"/>
          <c:order val="0"/>
          <c:tx>
            <c:v>Foundations</c:v>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Tables'!$M$37</c:f>
              <c:numCache>
                <c:formatCode>0.0000</c:formatCode>
                <c:ptCount val="1"/>
                <c:pt idx="0">
                  <c:v>19103.229503999999</c:v>
                </c:pt>
              </c:numCache>
            </c:numRef>
          </c:val>
          <c:extLst>
            <c:ext xmlns:c16="http://schemas.microsoft.com/office/drawing/2014/chart" uri="{C3380CC4-5D6E-409C-BE32-E72D297353CC}">
              <c16:uniqueId val="{00000000-7926-4CF3-B907-1F640F5A03C8}"/>
            </c:ext>
          </c:extLst>
        </c:ser>
        <c:ser>
          <c:idx val="1"/>
          <c:order val="1"/>
          <c:tx>
            <c:v>Structural Elements</c:v>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Tables'!$M$64</c:f>
              <c:numCache>
                <c:formatCode>0.0000</c:formatCode>
                <c:ptCount val="1"/>
                <c:pt idx="0">
                  <c:v>36235.515159999995</c:v>
                </c:pt>
              </c:numCache>
            </c:numRef>
          </c:val>
          <c:extLst>
            <c:ext xmlns:c16="http://schemas.microsoft.com/office/drawing/2014/chart" uri="{C3380CC4-5D6E-409C-BE32-E72D297353CC}">
              <c16:uniqueId val="{00000001-7926-4CF3-B907-1F640F5A03C8}"/>
            </c:ext>
          </c:extLst>
        </c:ser>
        <c:ser>
          <c:idx val="2"/>
          <c:order val="2"/>
          <c:tx>
            <c:v>Non-Load Bearing Elements</c:v>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Tables'!$M$108</c:f>
              <c:numCache>
                <c:formatCode>0.0000</c:formatCode>
                <c:ptCount val="1"/>
                <c:pt idx="0">
                  <c:v>51512.944068830555</c:v>
                </c:pt>
              </c:numCache>
            </c:numRef>
          </c:val>
          <c:extLst>
            <c:ext xmlns:c16="http://schemas.microsoft.com/office/drawing/2014/chart" uri="{C3380CC4-5D6E-409C-BE32-E72D297353CC}">
              <c16:uniqueId val="{00000002-7926-4CF3-B907-1F640F5A03C8}"/>
            </c:ext>
          </c:extLst>
        </c:ser>
        <c:ser>
          <c:idx val="3"/>
          <c:order val="3"/>
          <c:tx>
            <c:v>Fecades</c:v>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Tables'!$M$126</c:f>
              <c:numCache>
                <c:formatCode>0.0000</c:formatCode>
                <c:ptCount val="1"/>
                <c:pt idx="0">
                  <c:v>55695.36387756047</c:v>
                </c:pt>
              </c:numCache>
            </c:numRef>
          </c:val>
          <c:extLst>
            <c:ext xmlns:c16="http://schemas.microsoft.com/office/drawing/2014/chart" uri="{C3380CC4-5D6E-409C-BE32-E72D297353CC}">
              <c16:uniqueId val="{00000003-7926-4CF3-B907-1F640F5A03C8}"/>
            </c:ext>
          </c:extLst>
        </c:ser>
        <c:ser>
          <c:idx val="4"/>
          <c:order val="4"/>
          <c:tx>
            <c:v>Roofs</c:v>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Tables'!$M$140</c:f>
              <c:numCache>
                <c:formatCode>0.0000</c:formatCode>
                <c:ptCount val="1"/>
                <c:pt idx="0">
                  <c:v>24581.757821761705</c:v>
                </c:pt>
              </c:numCache>
            </c:numRef>
          </c:val>
          <c:extLst>
            <c:ext xmlns:c16="http://schemas.microsoft.com/office/drawing/2014/chart" uri="{C3380CC4-5D6E-409C-BE32-E72D297353CC}">
              <c16:uniqueId val="{00000004-7926-4CF3-B907-1F640F5A03C8}"/>
            </c:ext>
          </c:extLst>
        </c:ser>
        <c:dLbls>
          <c:dLblPos val="inEnd"/>
          <c:showLegendKey val="0"/>
          <c:showVal val="1"/>
          <c:showCatName val="0"/>
          <c:showSerName val="0"/>
          <c:showPercent val="0"/>
          <c:showBubbleSize val="0"/>
        </c:dLbls>
        <c:gapWidth val="65"/>
        <c:axId val="1967718688"/>
        <c:axId val="1967712032"/>
      </c:barChart>
      <c:catAx>
        <c:axId val="1967718688"/>
        <c:scaling>
          <c:orientation val="minMax"/>
        </c:scaling>
        <c:delete val="1"/>
        <c:axPos val="b"/>
        <c:numFmt formatCode="General" sourceLinked="1"/>
        <c:majorTickMark val="none"/>
        <c:minorTickMark val="none"/>
        <c:tickLblPos val="nextTo"/>
        <c:crossAx val="1967712032"/>
        <c:crosses val="autoZero"/>
        <c:auto val="1"/>
        <c:lblAlgn val="ctr"/>
        <c:lblOffset val="100"/>
        <c:noMultiLvlLbl val="0"/>
      </c:catAx>
      <c:valAx>
        <c:axId val="196771203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ES"/>
                  <a:t>MJ</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1967718688"/>
        <c:crosses val="autoZero"/>
        <c:crossBetween val="between"/>
      </c:valAx>
      <c:spPr>
        <a:noFill/>
        <a:ln>
          <a:noFill/>
        </a:ln>
        <a:effectLst/>
      </c:spPr>
    </c:plotArea>
    <c:legend>
      <c:legendPos val="b"/>
      <c:layout>
        <c:manualLayout>
          <c:xMode val="edge"/>
          <c:yMode val="edge"/>
          <c:x val="0.12952504496083478"/>
          <c:y val="0.85416366058840487"/>
          <c:w val="0.69036208326169035"/>
          <c:h val="0.12557166775512343"/>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TOTAL IMPACT PER AREA (PENRT A1-A3)</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2990964991529025"/>
          <c:y val="0.11824228599526153"/>
          <c:w val="0.86120299762700692"/>
          <c:h val="0.78111806232644521"/>
        </c:manualLayout>
      </c:layout>
      <c:barChart>
        <c:barDir val="col"/>
        <c:grouping val="clustered"/>
        <c:varyColors val="0"/>
        <c:ser>
          <c:idx val="0"/>
          <c:order val="0"/>
          <c:tx>
            <c:v>Foundations</c:v>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Tables'!$N$37</c:f>
              <c:numCache>
                <c:formatCode>0.0000</c:formatCode>
                <c:ptCount val="1"/>
                <c:pt idx="0">
                  <c:v>128195.31409499999</c:v>
                </c:pt>
              </c:numCache>
            </c:numRef>
          </c:val>
          <c:extLst>
            <c:ext xmlns:c16="http://schemas.microsoft.com/office/drawing/2014/chart" uri="{C3380CC4-5D6E-409C-BE32-E72D297353CC}">
              <c16:uniqueId val="{00000000-BAE7-4982-91C8-56EBCF984A1A}"/>
            </c:ext>
          </c:extLst>
        </c:ser>
        <c:ser>
          <c:idx val="1"/>
          <c:order val="1"/>
          <c:tx>
            <c:v>Structural Elements</c:v>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Tables'!$N$64</c:f>
              <c:numCache>
                <c:formatCode>0.0000</c:formatCode>
                <c:ptCount val="1"/>
                <c:pt idx="0">
                  <c:v>217576.02679999999</c:v>
                </c:pt>
              </c:numCache>
            </c:numRef>
          </c:val>
          <c:extLst>
            <c:ext xmlns:c16="http://schemas.microsoft.com/office/drawing/2014/chart" uri="{C3380CC4-5D6E-409C-BE32-E72D297353CC}">
              <c16:uniqueId val="{00000001-BAE7-4982-91C8-56EBCF984A1A}"/>
            </c:ext>
          </c:extLst>
        </c:ser>
        <c:ser>
          <c:idx val="2"/>
          <c:order val="2"/>
          <c:tx>
            <c:v>Non-Load Bearing Elements</c:v>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Tables'!$N$108</c:f>
              <c:numCache>
                <c:formatCode>0.0000</c:formatCode>
                <c:ptCount val="1"/>
                <c:pt idx="0">
                  <c:v>422843.5578210036</c:v>
                </c:pt>
              </c:numCache>
            </c:numRef>
          </c:val>
          <c:extLst>
            <c:ext xmlns:c16="http://schemas.microsoft.com/office/drawing/2014/chart" uri="{C3380CC4-5D6E-409C-BE32-E72D297353CC}">
              <c16:uniqueId val="{00000002-BAE7-4982-91C8-56EBCF984A1A}"/>
            </c:ext>
          </c:extLst>
        </c:ser>
        <c:ser>
          <c:idx val="3"/>
          <c:order val="3"/>
          <c:tx>
            <c:v>Fecades</c:v>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Tables'!$N$126</c:f>
              <c:numCache>
                <c:formatCode>0.0000</c:formatCode>
                <c:ptCount val="1"/>
                <c:pt idx="0">
                  <c:v>440298.50094404852</c:v>
                </c:pt>
              </c:numCache>
            </c:numRef>
          </c:val>
          <c:extLst>
            <c:ext xmlns:c16="http://schemas.microsoft.com/office/drawing/2014/chart" uri="{C3380CC4-5D6E-409C-BE32-E72D297353CC}">
              <c16:uniqueId val="{00000003-BAE7-4982-91C8-56EBCF984A1A}"/>
            </c:ext>
          </c:extLst>
        </c:ser>
        <c:ser>
          <c:idx val="4"/>
          <c:order val="4"/>
          <c:tx>
            <c:v>Roofs</c:v>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'Results - Tables'!$N$140</c:f>
              <c:numCache>
                <c:formatCode>0.0000</c:formatCode>
                <c:ptCount val="1"/>
                <c:pt idx="0">
                  <c:v>203470.54272815675</c:v>
                </c:pt>
              </c:numCache>
            </c:numRef>
          </c:val>
          <c:extLst>
            <c:ext xmlns:c16="http://schemas.microsoft.com/office/drawing/2014/chart" uri="{C3380CC4-5D6E-409C-BE32-E72D297353CC}">
              <c16:uniqueId val="{00000004-BAE7-4982-91C8-56EBCF984A1A}"/>
            </c:ext>
          </c:extLst>
        </c:ser>
        <c:dLbls>
          <c:dLblPos val="inEnd"/>
          <c:showLegendKey val="0"/>
          <c:showVal val="1"/>
          <c:showCatName val="0"/>
          <c:showSerName val="0"/>
          <c:showPercent val="0"/>
          <c:showBubbleSize val="0"/>
        </c:dLbls>
        <c:gapWidth val="65"/>
        <c:axId val="1967712448"/>
        <c:axId val="1967717440"/>
      </c:barChart>
      <c:catAx>
        <c:axId val="1967712448"/>
        <c:scaling>
          <c:orientation val="minMax"/>
        </c:scaling>
        <c:delete val="1"/>
        <c:axPos val="b"/>
        <c:majorTickMark val="none"/>
        <c:minorTickMark val="none"/>
        <c:tickLblPos val="nextTo"/>
        <c:crossAx val="1967717440"/>
        <c:crosses val="autoZero"/>
        <c:auto val="1"/>
        <c:lblAlgn val="ctr"/>
        <c:lblOffset val="100"/>
        <c:noMultiLvlLbl val="0"/>
      </c:catAx>
      <c:valAx>
        <c:axId val="196771744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ES"/>
                  <a:t>MJ</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196771244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r>
              <a:rPr lang="es-ES"/>
              <a:t>TOTAL ENERGY CONSUMPTION A1-A5</a:t>
            </a:r>
          </a:p>
        </c:rich>
      </c:tx>
      <c:overlay val="0"/>
      <c:spPr>
        <a:noFill/>
        <a:ln>
          <a:noFill/>
        </a:ln>
        <a:effectLst/>
      </c:spPr>
      <c:txPr>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endParaRPr lang="en-US"/>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PERT A1-A3</c:v>
          </c:tx>
          <c:spPr>
            <a:solidFill>
              <a:schemeClr val="accent1">
                <a:alpha val="88000"/>
              </a:schemeClr>
            </a:solidFill>
            <a:ln>
              <a:solidFill>
                <a:schemeClr val="accent1">
                  <a:lumMod val="50000"/>
                </a:schemeClr>
              </a:solidFill>
            </a:ln>
            <a:effectLst/>
            <a:scene3d>
              <a:camera prst="orthographicFront"/>
              <a:lightRig rig="threePt" dir="t"/>
            </a:scene3d>
            <a:sp3d prstMaterial="flat">
              <a:contourClr>
                <a:schemeClr val="accent1">
                  <a:lumMod val="50000"/>
                </a:schemeClr>
              </a:contourClr>
            </a:sp3d>
          </c:spPr>
          <c:invertIfNegative val="0"/>
          <c:dLbls>
            <c:spPr>
              <a:solidFill>
                <a:schemeClr val="accent1">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Tables'!$M$141</c:f>
              <c:numCache>
                <c:formatCode>0.000</c:formatCode>
                <c:ptCount val="1"/>
                <c:pt idx="0">
                  <c:v>162547.05261039102</c:v>
                </c:pt>
              </c:numCache>
            </c:numRef>
          </c:val>
          <c:extLst>
            <c:ext xmlns:c16="http://schemas.microsoft.com/office/drawing/2014/chart" uri="{C3380CC4-5D6E-409C-BE32-E72D297353CC}">
              <c16:uniqueId val="{00000000-ED27-4323-95AC-0FEE97DCD471}"/>
            </c:ext>
          </c:extLst>
        </c:ser>
        <c:ser>
          <c:idx val="1"/>
          <c:order val="1"/>
          <c:tx>
            <c:v>PENRT A1-A3</c:v>
          </c:tx>
          <c:spPr>
            <a:solidFill>
              <a:schemeClr val="accent2">
                <a:alpha val="88000"/>
              </a:schemeClr>
            </a:solidFill>
            <a:ln>
              <a:solidFill>
                <a:schemeClr val="accent2">
                  <a:lumMod val="50000"/>
                </a:schemeClr>
              </a:solidFill>
            </a:ln>
            <a:effectLst/>
            <a:scene3d>
              <a:camera prst="orthographicFront"/>
              <a:lightRig rig="threePt" dir="t"/>
            </a:scene3d>
            <a:sp3d prstMaterial="flat">
              <a:contourClr>
                <a:schemeClr val="accent2">
                  <a:lumMod val="50000"/>
                </a:schemeClr>
              </a:contourClr>
            </a:sp3d>
          </c:spPr>
          <c:invertIfNegative val="0"/>
          <c:dLbls>
            <c:spPr>
              <a:solidFill>
                <a:schemeClr val="accent2">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Tables'!$N$141</c:f>
              <c:numCache>
                <c:formatCode>0.0000</c:formatCode>
                <c:ptCount val="1"/>
                <c:pt idx="0">
                  <c:v>1208913.3996600523</c:v>
                </c:pt>
              </c:numCache>
            </c:numRef>
          </c:val>
          <c:extLst>
            <c:ext xmlns:c16="http://schemas.microsoft.com/office/drawing/2014/chart" uri="{C3380CC4-5D6E-409C-BE32-E72D297353CC}">
              <c16:uniqueId val="{00000001-ED27-4323-95AC-0FEE97DCD471}"/>
            </c:ext>
          </c:extLst>
        </c:ser>
        <c:ser>
          <c:idx val="2"/>
          <c:order val="2"/>
          <c:tx>
            <c:v>PERT A4</c:v>
          </c:tx>
          <c:spPr>
            <a:solidFill>
              <a:schemeClr val="accent3">
                <a:alpha val="88000"/>
              </a:schemeClr>
            </a:solidFill>
            <a:ln>
              <a:solidFill>
                <a:schemeClr val="accent3">
                  <a:lumMod val="50000"/>
                </a:schemeClr>
              </a:solidFill>
            </a:ln>
            <a:effectLst/>
            <a:scene3d>
              <a:camera prst="orthographicFront"/>
              <a:lightRig rig="threePt" dir="t"/>
            </a:scene3d>
            <a:sp3d prstMaterial="flat">
              <a:contourClr>
                <a:schemeClr val="accent3">
                  <a:lumMod val="50000"/>
                </a:schemeClr>
              </a:contourClr>
            </a:sp3d>
          </c:spPr>
          <c:invertIfNegative val="0"/>
          <c:dLbls>
            <c:spPr>
              <a:solidFill>
                <a:schemeClr val="accent3">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Tables'!$O$141</c:f>
              <c:numCache>
                <c:formatCode>0.0000</c:formatCode>
                <c:ptCount val="1"/>
                <c:pt idx="0">
                  <c:v>1659.8015547249997</c:v>
                </c:pt>
              </c:numCache>
            </c:numRef>
          </c:val>
          <c:extLst>
            <c:ext xmlns:c16="http://schemas.microsoft.com/office/drawing/2014/chart" uri="{C3380CC4-5D6E-409C-BE32-E72D297353CC}">
              <c16:uniqueId val="{00000002-ED27-4323-95AC-0FEE97DCD471}"/>
            </c:ext>
          </c:extLst>
        </c:ser>
        <c:ser>
          <c:idx val="3"/>
          <c:order val="3"/>
          <c:tx>
            <c:v>PENRT A4</c:v>
          </c:tx>
          <c:spPr>
            <a:solidFill>
              <a:schemeClr val="accent4">
                <a:alpha val="88000"/>
              </a:schemeClr>
            </a:solidFill>
            <a:ln>
              <a:solidFill>
                <a:schemeClr val="accent4">
                  <a:lumMod val="50000"/>
                </a:schemeClr>
              </a:solidFill>
            </a:ln>
            <a:effectLst/>
            <a:scene3d>
              <a:camera prst="orthographicFront"/>
              <a:lightRig rig="threePt" dir="t"/>
            </a:scene3d>
            <a:sp3d prstMaterial="flat">
              <a:contourClr>
                <a:schemeClr val="accent4">
                  <a:lumMod val="50000"/>
                </a:schemeClr>
              </a:contourClr>
            </a:sp3d>
          </c:spPr>
          <c:invertIfNegative val="0"/>
          <c:dLbls>
            <c:spPr>
              <a:solidFill>
                <a:schemeClr val="accent4">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Tables'!$P$141</c:f>
              <c:numCache>
                <c:formatCode>0.0000</c:formatCode>
                <c:ptCount val="1"/>
                <c:pt idx="0">
                  <c:v>44856.521620499989</c:v>
                </c:pt>
              </c:numCache>
            </c:numRef>
          </c:val>
          <c:extLst>
            <c:ext xmlns:c16="http://schemas.microsoft.com/office/drawing/2014/chart" uri="{C3380CC4-5D6E-409C-BE32-E72D297353CC}">
              <c16:uniqueId val="{00000003-ED27-4323-95AC-0FEE97DCD471}"/>
            </c:ext>
          </c:extLst>
        </c:ser>
        <c:ser>
          <c:idx val="4"/>
          <c:order val="4"/>
          <c:tx>
            <c:v>PERT A5</c:v>
          </c:tx>
          <c:spPr>
            <a:solidFill>
              <a:schemeClr val="accent5">
                <a:alpha val="88000"/>
              </a:schemeClr>
            </a:solidFill>
            <a:ln>
              <a:solidFill>
                <a:schemeClr val="accent5">
                  <a:lumMod val="50000"/>
                </a:schemeClr>
              </a:solidFill>
            </a:ln>
            <a:effectLst/>
            <a:scene3d>
              <a:camera prst="orthographicFront"/>
              <a:lightRig rig="threePt" dir="t"/>
            </a:scene3d>
            <a:sp3d prstMaterial="flat">
              <a:contourClr>
                <a:schemeClr val="accent5">
                  <a:lumMod val="50000"/>
                </a:schemeClr>
              </a:contourClr>
            </a:sp3d>
          </c:spPr>
          <c:invertIfNegative val="0"/>
          <c:dLbls>
            <c:spPr>
              <a:solidFill>
                <a:schemeClr val="accent5">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Tables'!$Q$141</c:f>
              <c:numCache>
                <c:formatCode>0.0000</c:formatCode>
                <c:ptCount val="1"/>
                <c:pt idx="0">
                  <c:v>1466.2613618469434</c:v>
                </c:pt>
              </c:numCache>
            </c:numRef>
          </c:val>
          <c:extLst>
            <c:ext xmlns:c16="http://schemas.microsoft.com/office/drawing/2014/chart" uri="{C3380CC4-5D6E-409C-BE32-E72D297353CC}">
              <c16:uniqueId val="{00000004-ED27-4323-95AC-0FEE97DCD471}"/>
            </c:ext>
          </c:extLst>
        </c:ser>
        <c:ser>
          <c:idx val="5"/>
          <c:order val="5"/>
          <c:tx>
            <c:v>PENRT A5</c:v>
          </c:tx>
          <c:spPr>
            <a:solidFill>
              <a:schemeClr val="accent6">
                <a:alpha val="88000"/>
              </a:schemeClr>
            </a:solidFill>
            <a:ln>
              <a:solidFill>
                <a:schemeClr val="accent6">
                  <a:lumMod val="50000"/>
                </a:schemeClr>
              </a:solidFill>
            </a:ln>
            <a:effectLst/>
            <a:scene3d>
              <a:camera prst="orthographicFront"/>
              <a:lightRig rig="threePt" dir="t"/>
            </a:scene3d>
            <a:sp3d prstMaterial="flat">
              <a:contourClr>
                <a:schemeClr val="accent6">
                  <a:lumMod val="50000"/>
                </a:schemeClr>
              </a:contourClr>
            </a:sp3d>
          </c:spPr>
          <c:invertIfNegative val="0"/>
          <c:dLbls>
            <c:spPr>
              <a:solidFill>
                <a:schemeClr val="accent6">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'Results - Tables'!$R$141</c:f>
              <c:numCache>
                <c:formatCode>0.0000</c:formatCode>
                <c:ptCount val="1"/>
                <c:pt idx="0">
                  <c:v>36542.531137049016</c:v>
                </c:pt>
              </c:numCache>
            </c:numRef>
          </c:val>
          <c:extLst>
            <c:ext xmlns:c16="http://schemas.microsoft.com/office/drawing/2014/chart" uri="{C3380CC4-5D6E-409C-BE32-E72D297353CC}">
              <c16:uniqueId val="{00000005-ED27-4323-95AC-0FEE97DCD471}"/>
            </c:ext>
          </c:extLst>
        </c:ser>
        <c:dLbls>
          <c:showLegendKey val="0"/>
          <c:showVal val="1"/>
          <c:showCatName val="0"/>
          <c:showSerName val="0"/>
          <c:showPercent val="0"/>
          <c:showBubbleSize val="0"/>
        </c:dLbls>
        <c:gapWidth val="84"/>
        <c:gapDepth val="53"/>
        <c:shape val="box"/>
        <c:axId val="2051595920"/>
        <c:axId val="2051608400"/>
        <c:axId val="0"/>
      </c:bar3DChart>
      <c:catAx>
        <c:axId val="2051595920"/>
        <c:scaling>
          <c:orientation val="minMax"/>
        </c:scaling>
        <c:delete val="1"/>
        <c:axPos val="b"/>
        <c:title>
          <c:tx>
            <c:rich>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r>
                  <a:rPr lang="es-ES"/>
                  <a:t>IMPACTS</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title>
        <c:numFmt formatCode="General" sourceLinked="1"/>
        <c:majorTickMark val="none"/>
        <c:minorTickMark val="none"/>
        <c:tickLblPos val="nextTo"/>
        <c:crossAx val="2051608400"/>
        <c:crosses val="autoZero"/>
        <c:auto val="1"/>
        <c:lblAlgn val="ctr"/>
        <c:lblOffset val="100"/>
        <c:noMultiLvlLbl val="0"/>
      </c:catAx>
      <c:valAx>
        <c:axId val="2051608400"/>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r>
                  <a:rPr lang="es-ES"/>
                  <a:t>MJ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515959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14.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15.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16.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17.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jpe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jpeg"/><Relationship Id="rId21" Type="http://schemas.openxmlformats.org/officeDocument/2006/relationships/image" Target="../media/image24.jpeg"/><Relationship Id="rId34" Type="http://schemas.openxmlformats.org/officeDocument/2006/relationships/image" Target="../media/image2.png"/><Relationship Id="rId7" Type="http://schemas.openxmlformats.org/officeDocument/2006/relationships/image" Target="../media/image10.png"/><Relationship Id="rId12" Type="http://schemas.openxmlformats.org/officeDocument/2006/relationships/image" Target="../media/image15.jpeg"/><Relationship Id="rId17" Type="http://schemas.openxmlformats.org/officeDocument/2006/relationships/image" Target="../media/image20.jpeg"/><Relationship Id="rId25" Type="http://schemas.openxmlformats.org/officeDocument/2006/relationships/image" Target="../media/image28.png"/><Relationship Id="rId33" Type="http://schemas.openxmlformats.org/officeDocument/2006/relationships/image" Target="../media/image1.pn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media/image23.png"/><Relationship Id="rId29" Type="http://schemas.openxmlformats.org/officeDocument/2006/relationships/image" Target="../media/image32.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24" Type="http://schemas.openxmlformats.org/officeDocument/2006/relationships/image" Target="../media/image27.png"/><Relationship Id="rId32" Type="http://schemas.openxmlformats.org/officeDocument/2006/relationships/image" Target="../media/image35.jpeg"/><Relationship Id="rId5" Type="http://schemas.openxmlformats.org/officeDocument/2006/relationships/image" Target="../media/image8.jpeg"/><Relationship Id="rId15" Type="http://schemas.openxmlformats.org/officeDocument/2006/relationships/image" Target="../media/image18.png"/><Relationship Id="rId23" Type="http://schemas.openxmlformats.org/officeDocument/2006/relationships/image" Target="../media/image26.jpeg"/><Relationship Id="rId28" Type="http://schemas.openxmlformats.org/officeDocument/2006/relationships/image" Target="../media/image31.jpeg"/><Relationship Id="rId10" Type="http://schemas.openxmlformats.org/officeDocument/2006/relationships/image" Target="../media/image13.jpeg"/><Relationship Id="rId19" Type="http://schemas.openxmlformats.org/officeDocument/2006/relationships/image" Target="../media/image22.jpeg"/><Relationship Id="rId31" Type="http://schemas.openxmlformats.org/officeDocument/2006/relationships/image" Target="../media/image34.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jpeg"/><Relationship Id="rId22" Type="http://schemas.openxmlformats.org/officeDocument/2006/relationships/image" Target="../media/image25.jpeg"/><Relationship Id="rId27" Type="http://schemas.openxmlformats.org/officeDocument/2006/relationships/image" Target="../media/image30.jpeg"/><Relationship Id="rId30" Type="http://schemas.openxmlformats.org/officeDocument/2006/relationships/image" Target="../media/image33.jpeg"/><Relationship Id="rId35" Type="http://schemas.openxmlformats.org/officeDocument/2006/relationships/image" Target="../media/image3.png"/><Relationship Id="rId8"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56.png"/><Relationship Id="rId13" Type="http://schemas.openxmlformats.org/officeDocument/2006/relationships/image" Target="../media/image59.png"/><Relationship Id="rId3" Type="http://schemas.openxmlformats.org/officeDocument/2006/relationships/image" Target="../media/image55.jpeg"/><Relationship Id="rId7" Type="http://schemas.openxmlformats.org/officeDocument/2006/relationships/image" Target="../media/image23.png"/><Relationship Id="rId12" Type="http://schemas.openxmlformats.org/officeDocument/2006/relationships/image" Target="../media/image58.jpeg"/><Relationship Id="rId2" Type="http://schemas.openxmlformats.org/officeDocument/2006/relationships/image" Target="../media/image35.jpeg"/><Relationship Id="rId1" Type="http://schemas.openxmlformats.org/officeDocument/2006/relationships/image" Target="../media/image33.jpeg"/><Relationship Id="rId6" Type="http://schemas.openxmlformats.org/officeDocument/2006/relationships/image" Target="../media/image28.png"/><Relationship Id="rId11" Type="http://schemas.openxmlformats.org/officeDocument/2006/relationships/image" Target="../media/image57.gif"/><Relationship Id="rId5" Type="http://schemas.openxmlformats.org/officeDocument/2006/relationships/image" Target="../media/image21.png"/><Relationship Id="rId10" Type="http://schemas.openxmlformats.org/officeDocument/2006/relationships/image" Target="../media/image22.jpeg"/><Relationship Id="rId4" Type="http://schemas.openxmlformats.org/officeDocument/2006/relationships/image" Target="../media/image27.png"/><Relationship Id="rId9" Type="http://schemas.openxmlformats.org/officeDocument/2006/relationships/image" Target="../media/image29.png"/><Relationship Id="rId14" Type="http://schemas.openxmlformats.org/officeDocument/2006/relationships/image" Target="../media/image60.png"/></Relationships>
</file>

<file path=xl/drawings/_rels/drawing4.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61.png"/></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3.xml"/><Relationship Id="rId7" Type="http://schemas.openxmlformats.org/officeDocument/2006/relationships/image" Target="../media/image65.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4.png"/><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3" Type="http://schemas.openxmlformats.org/officeDocument/2006/relationships/chart" Target="../charts/chart8.xml"/><Relationship Id="rId21" Type="http://schemas.openxmlformats.org/officeDocument/2006/relationships/image" Target="../media/image64.png"/><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image" Target="../media/image67.png"/><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image" Target="../media/image66.png"/></Relationships>
</file>

<file path=xl/drawings/_rels/vmlDrawing2.vml.rels><?xml version="1.0" encoding="UTF-8" standalone="yes"?>
<Relationships xmlns="http://schemas.openxmlformats.org/package/2006/relationships"><Relationship Id="rId8" Type="http://schemas.openxmlformats.org/officeDocument/2006/relationships/image" Target="../media/image43.emf"/><Relationship Id="rId13" Type="http://schemas.openxmlformats.org/officeDocument/2006/relationships/image" Target="../media/image48.emf"/><Relationship Id="rId18" Type="http://schemas.openxmlformats.org/officeDocument/2006/relationships/image" Target="../media/image53.emf"/><Relationship Id="rId3" Type="http://schemas.openxmlformats.org/officeDocument/2006/relationships/image" Target="../media/image38.wmf"/><Relationship Id="rId7" Type="http://schemas.openxmlformats.org/officeDocument/2006/relationships/image" Target="../media/image42.emf"/><Relationship Id="rId12" Type="http://schemas.openxmlformats.org/officeDocument/2006/relationships/image" Target="../media/image47.emf"/><Relationship Id="rId17" Type="http://schemas.openxmlformats.org/officeDocument/2006/relationships/image" Target="../media/image52.emf"/><Relationship Id="rId2" Type="http://schemas.openxmlformats.org/officeDocument/2006/relationships/image" Target="../media/image37.wmf"/><Relationship Id="rId16" Type="http://schemas.openxmlformats.org/officeDocument/2006/relationships/image" Target="../media/image51.emf"/><Relationship Id="rId1" Type="http://schemas.openxmlformats.org/officeDocument/2006/relationships/image" Target="../media/image36.emf"/><Relationship Id="rId6" Type="http://schemas.openxmlformats.org/officeDocument/2006/relationships/image" Target="../media/image41.emf"/><Relationship Id="rId11" Type="http://schemas.openxmlformats.org/officeDocument/2006/relationships/image" Target="../media/image46.emf"/><Relationship Id="rId5" Type="http://schemas.openxmlformats.org/officeDocument/2006/relationships/image" Target="../media/image40.emf"/><Relationship Id="rId15" Type="http://schemas.openxmlformats.org/officeDocument/2006/relationships/image" Target="../media/image50.emf"/><Relationship Id="rId10" Type="http://schemas.openxmlformats.org/officeDocument/2006/relationships/image" Target="../media/image45.emf"/><Relationship Id="rId19" Type="http://schemas.openxmlformats.org/officeDocument/2006/relationships/image" Target="../media/image54.emf"/><Relationship Id="rId4" Type="http://schemas.openxmlformats.org/officeDocument/2006/relationships/image" Target="../media/image39.wmf"/><Relationship Id="rId9" Type="http://schemas.openxmlformats.org/officeDocument/2006/relationships/image" Target="../media/image44.emf"/><Relationship Id="rId14" Type="http://schemas.openxmlformats.org/officeDocument/2006/relationships/image" Target="../media/image49.emf"/></Relationships>
</file>

<file path=xl/drawings/drawing1.xml><?xml version="1.0" encoding="utf-8"?>
<xdr:wsDr xmlns:xdr="http://schemas.openxmlformats.org/drawingml/2006/spreadsheetDrawing" xmlns:a="http://schemas.openxmlformats.org/drawingml/2006/main">
  <xdr:twoCellAnchor editAs="oneCell">
    <xdr:from>
      <xdr:col>1</xdr:col>
      <xdr:colOff>22664</xdr:colOff>
      <xdr:row>0</xdr:row>
      <xdr:rowOff>143204</xdr:rowOff>
    </xdr:from>
    <xdr:to>
      <xdr:col>2</xdr:col>
      <xdr:colOff>613805</xdr:colOff>
      <xdr:row>3</xdr:row>
      <xdr:rowOff>29539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alphaModFix/>
          <a:extLst>
            <a:ext uri="{28A0092B-C50C-407E-A947-70E740481C1C}">
              <a14:useLocalDpi xmlns:a14="http://schemas.microsoft.com/office/drawing/2010/main" val="0"/>
            </a:ext>
          </a:extLst>
        </a:blip>
        <a:srcRect l="4120" t="4573" r="5986"/>
        <a:stretch/>
      </xdr:blipFill>
      <xdr:spPr>
        <a:xfrm>
          <a:off x="784664" y="143204"/>
          <a:ext cx="1581741" cy="457835"/>
        </a:xfrm>
        <a:prstGeom prst="rect">
          <a:avLst/>
        </a:prstGeom>
      </xdr:spPr>
    </xdr:pic>
    <xdr:clientData/>
  </xdr:twoCellAnchor>
  <xdr:twoCellAnchor editAs="oneCell">
    <xdr:from>
      <xdr:col>8</xdr:col>
      <xdr:colOff>110030</xdr:colOff>
      <xdr:row>0</xdr:row>
      <xdr:rowOff>144277</xdr:rowOff>
    </xdr:from>
    <xdr:to>
      <xdr:col>10</xdr:col>
      <xdr:colOff>70660</xdr:colOff>
      <xdr:row>3</xdr:row>
      <xdr:rowOff>22357</xdr:rowOff>
    </xdr:to>
    <xdr:pic>
      <xdr:nvPicPr>
        <xdr:cNvPr id="3" name="Imagen 2" descr="Texto&#10;&#10;Descripción generada automáticamente">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0780"/>
        <a:stretch/>
      </xdr:blipFill>
      <xdr:spPr bwMode="auto">
        <a:xfrm>
          <a:off x="6434630" y="144277"/>
          <a:ext cx="1484630" cy="4495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10</xdr:col>
      <xdr:colOff>34465</xdr:colOff>
      <xdr:row>0</xdr:row>
      <xdr:rowOff>70617</xdr:rowOff>
    </xdr:from>
    <xdr:to>
      <xdr:col>10</xdr:col>
      <xdr:colOff>696135</xdr:colOff>
      <xdr:row>2</xdr:row>
      <xdr:rowOff>159517</xdr:rowOff>
    </xdr:to>
    <xdr:pic>
      <xdr:nvPicPr>
        <xdr:cNvPr id="4" name="Imagen 3" descr="Texto&#10;&#10;Descripción generada automáticamente">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6159" r="68671"/>
        <a:stretch/>
      </xdr:blipFill>
      <xdr:spPr bwMode="auto">
        <a:xfrm>
          <a:off x="7883065" y="70617"/>
          <a:ext cx="661670" cy="46990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1133475</xdr:colOff>
      <xdr:row>74</xdr:row>
      <xdr:rowOff>88006</xdr:rowOff>
    </xdr:from>
    <xdr:to>
      <xdr:col>4</xdr:col>
      <xdr:colOff>21886</xdr:colOff>
      <xdr:row>78</xdr:row>
      <xdr:rowOff>133350</xdr:rowOff>
    </xdr:to>
    <xdr:pic>
      <xdr:nvPicPr>
        <xdr:cNvPr id="3" name="Imagen 2" descr="Precio en España de m³ de Zapata de ...">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5625" y="11737081"/>
          <a:ext cx="1295400" cy="807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74</xdr:row>
      <xdr:rowOff>85726</xdr:rowOff>
    </xdr:from>
    <xdr:to>
      <xdr:col>6</xdr:col>
      <xdr:colOff>9525</xdr:colOff>
      <xdr:row>78</xdr:row>
      <xdr:rowOff>28576</xdr:rowOff>
    </xdr:to>
    <xdr:pic>
      <xdr:nvPicPr>
        <xdr:cNvPr id="4" name="Imagen 3" descr="LAFARGE. Precio en España de m³ de Losa ...">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7225" y="11734801"/>
          <a:ext cx="1409700"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104776</xdr:colOff>
      <xdr:row>73</xdr:row>
      <xdr:rowOff>177815</xdr:rowOff>
    </xdr:from>
    <xdr:to>
      <xdr:col>2</xdr:col>
      <xdr:colOff>940067</xdr:colOff>
      <xdr:row>78</xdr:row>
      <xdr:rowOff>171450</xdr:rowOff>
    </xdr:to>
    <xdr:pic>
      <xdr:nvPicPr>
        <xdr:cNvPr id="6" name="Imagen 5" descr="Encepado de grupo de pilotes. Generador ...">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8801" y="11636390"/>
          <a:ext cx="835291" cy="946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986938</xdr:colOff>
      <xdr:row>82</xdr:row>
      <xdr:rowOff>150202</xdr:rowOff>
    </xdr:from>
    <xdr:to>
      <xdr:col>2</xdr:col>
      <xdr:colOff>770793</xdr:colOff>
      <xdr:row>86</xdr:row>
      <xdr:rowOff>145210</xdr:rowOff>
    </xdr:to>
    <xdr:pic>
      <xdr:nvPicPr>
        <xdr:cNvPr id="7" name="Imagen 6" descr="▷Precio de cimentación y estructura de hormigón ◁ Casas">
          <a:extLst>
            <a:ext uri="{FF2B5EF4-FFF2-40B4-BE49-F238E27FC236}">
              <a16:creationId xmlns:a16="http://schemas.microsoft.com/office/drawing/2014/main" id="{00000000-0008-0000-0100-000007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7020"/>
        <a:stretch/>
      </xdr:blipFill>
      <xdr:spPr bwMode="auto">
        <a:xfrm>
          <a:off x="2254496" y="13316683"/>
          <a:ext cx="1029432" cy="757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1233268</xdr:colOff>
      <xdr:row>82</xdr:row>
      <xdr:rowOff>123824</xdr:rowOff>
    </xdr:from>
    <xdr:to>
      <xdr:col>3</xdr:col>
      <xdr:colOff>787644</xdr:colOff>
      <xdr:row>87</xdr:row>
      <xdr:rowOff>19049</xdr:rowOff>
    </xdr:to>
    <xdr:pic>
      <xdr:nvPicPr>
        <xdr:cNvPr id="8" name="Imagen 7" descr="Foro CYPE - Peso del edificio estructura Metálica">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195418" y="13296899"/>
          <a:ext cx="862231"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37366</xdr:colOff>
      <xdr:row>83</xdr:row>
      <xdr:rowOff>6593</xdr:rowOff>
    </xdr:from>
    <xdr:to>
      <xdr:col>5</xdr:col>
      <xdr:colOff>398327</xdr:colOff>
      <xdr:row>86</xdr:row>
      <xdr:rowOff>145806</xdr:rowOff>
    </xdr:to>
    <xdr:pic>
      <xdr:nvPicPr>
        <xdr:cNvPr id="9" name="Imagen 8" descr="Edificios de madera: ¿el futuro de la construcción sostenible?">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46001" y="13363574"/>
          <a:ext cx="1122961" cy="710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48363</xdr:colOff>
      <xdr:row>91</xdr:row>
      <xdr:rowOff>1466</xdr:rowOff>
    </xdr:from>
    <xdr:to>
      <xdr:col>3</xdr:col>
      <xdr:colOff>1025769</xdr:colOff>
      <xdr:row>94</xdr:row>
      <xdr:rowOff>142172</xdr:rowOff>
    </xdr:to>
    <xdr:pic>
      <xdr:nvPicPr>
        <xdr:cNvPr id="13" name="Imagen 12" descr="TREBALL FINAL DE GRAU">
          <a:extLst>
            <a:ext uri="{FF2B5EF4-FFF2-40B4-BE49-F238E27FC236}">
              <a16:creationId xmlns:a16="http://schemas.microsoft.com/office/drawing/2014/main" id="{00000000-0008-0000-0100-00000D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5071"/>
        <a:stretch/>
      </xdr:blipFill>
      <xdr:spPr bwMode="auto">
        <a:xfrm>
          <a:off x="3733805" y="14882447"/>
          <a:ext cx="977406" cy="712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25486</xdr:colOff>
      <xdr:row>90</xdr:row>
      <xdr:rowOff>19050</xdr:rowOff>
    </xdr:from>
    <xdr:to>
      <xdr:col>1</xdr:col>
      <xdr:colOff>1055947</xdr:colOff>
      <xdr:row>95</xdr:row>
      <xdr:rowOff>19050</xdr:rowOff>
    </xdr:to>
    <xdr:pic>
      <xdr:nvPicPr>
        <xdr:cNvPr id="14" name="Imagen 13" descr="Precio en España de m² de Losa maciza y ...">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2311" y="14716125"/>
          <a:ext cx="1029729"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1085850</xdr:colOff>
      <xdr:row>90</xdr:row>
      <xdr:rowOff>148006</xdr:rowOff>
    </xdr:from>
    <xdr:to>
      <xdr:col>2</xdr:col>
      <xdr:colOff>1053720</xdr:colOff>
      <xdr:row>94</xdr:row>
      <xdr:rowOff>102577</xdr:rowOff>
    </xdr:to>
    <xdr:pic>
      <xdr:nvPicPr>
        <xdr:cNvPr id="15" name="Imagen 14" descr="Chapa Colaborante para forjados ...">
          <a:extLst>
            <a:ext uri="{FF2B5EF4-FFF2-40B4-BE49-F238E27FC236}">
              <a16:creationId xmlns:a16="http://schemas.microsoft.com/office/drawing/2014/main" id="{00000000-0008-0000-0100-00000F00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921" t="21473" r="42804" b="17791"/>
        <a:stretch/>
      </xdr:blipFill>
      <xdr:spPr bwMode="auto">
        <a:xfrm>
          <a:off x="2353408" y="14838487"/>
          <a:ext cx="1213447" cy="716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183173</xdr:colOff>
      <xdr:row>90</xdr:row>
      <xdr:rowOff>161192</xdr:rowOff>
    </xdr:from>
    <xdr:to>
      <xdr:col>5</xdr:col>
      <xdr:colOff>585350</xdr:colOff>
      <xdr:row>94</xdr:row>
      <xdr:rowOff>124557</xdr:rowOff>
    </xdr:to>
    <xdr:pic>
      <xdr:nvPicPr>
        <xdr:cNvPr id="16" name="Imagen 15" descr="Compuesto de acero y madera: el futuro ...">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791808" y="14851673"/>
          <a:ext cx="1164177" cy="725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153867</xdr:colOff>
      <xdr:row>100</xdr:row>
      <xdr:rowOff>139212</xdr:rowOff>
    </xdr:from>
    <xdr:to>
      <xdr:col>2</xdr:col>
      <xdr:colOff>1103923</xdr:colOff>
      <xdr:row>103</xdr:row>
      <xdr:rowOff>153865</xdr:rowOff>
    </xdr:to>
    <xdr:pic>
      <xdr:nvPicPr>
        <xdr:cNvPr id="18" name="Imagen 17" descr="Bovedillas de hormigón 25x70">
          <a:extLst>
            <a:ext uri="{FF2B5EF4-FFF2-40B4-BE49-F238E27FC236}">
              <a16:creationId xmlns:a16="http://schemas.microsoft.com/office/drawing/2014/main" id="{00000000-0008-0000-0100-00001200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16746" b="21537"/>
        <a:stretch/>
      </xdr:blipFill>
      <xdr:spPr bwMode="auto">
        <a:xfrm>
          <a:off x="2527790" y="16639443"/>
          <a:ext cx="950056" cy="586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73272</xdr:colOff>
      <xdr:row>100</xdr:row>
      <xdr:rowOff>151552</xdr:rowOff>
    </xdr:from>
    <xdr:to>
      <xdr:col>3</xdr:col>
      <xdr:colOff>1037379</xdr:colOff>
      <xdr:row>103</xdr:row>
      <xdr:rowOff>65941</xdr:rowOff>
    </xdr:to>
    <xdr:pic>
      <xdr:nvPicPr>
        <xdr:cNvPr id="19" name="Imagen 18" descr="bovedilla cerámica de 13 metálica">
          <a:extLst>
            <a:ext uri="{FF2B5EF4-FFF2-40B4-BE49-F238E27FC236}">
              <a16:creationId xmlns:a16="http://schemas.microsoft.com/office/drawing/2014/main" id="{00000000-0008-0000-0100-000013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23589" b="26154"/>
        <a:stretch/>
      </xdr:blipFill>
      <xdr:spPr bwMode="auto">
        <a:xfrm>
          <a:off x="3758714" y="16651783"/>
          <a:ext cx="967151" cy="485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1300020</xdr:colOff>
      <xdr:row>109</xdr:row>
      <xdr:rowOff>86709</xdr:rowOff>
    </xdr:from>
    <xdr:to>
      <xdr:col>3</xdr:col>
      <xdr:colOff>948619</xdr:colOff>
      <xdr:row>112</xdr:row>
      <xdr:rowOff>157627</xdr:rowOff>
    </xdr:to>
    <xdr:pic>
      <xdr:nvPicPr>
        <xdr:cNvPr id="22" name="Imagen 21" descr="Estructuras de hormigón armado del ...">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817933" y="18200774"/>
          <a:ext cx="965534" cy="642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150652</xdr:colOff>
      <xdr:row>109</xdr:row>
      <xdr:rowOff>50371</xdr:rowOff>
    </xdr:from>
    <xdr:to>
      <xdr:col>5</xdr:col>
      <xdr:colOff>125750</xdr:colOff>
      <xdr:row>113</xdr:row>
      <xdr:rowOff>20606</xdr:rowOff>
    </xdr:to>
    <xdr:pic>
      <xdr:nvPicPr>
        <xdr:cNvPr id="23" name="Imagen 22" descr="Seismic Ordinances">
          <a:extLst>
            <a:ext uri="{FF2B5EF4-FFF2-40B4-BE49-F238E27FC236}">
              <a16:creationId xmlns:a16="http://schemas.microsoft.com/office/drawing/2014/main" id="{00000000-0008-0000-0100-000017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8070"/>
        <a:stretch/>
      </xdr:blipFill>
      <xdr:spPr bwMode="auto">
        <a:xfrm>
          <a:off x="3836094" y="18162525"/>
          <a:ext cx="737098" cy="732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120</xdr:row>
      <xdr:rowOff>0</xdr:rowOff>
    </xdr:from>
    <xdr:to>
      <xdr:col>2</xdr:col>
      <xdr:colOff>304800</xdr:colOff>
      <xdr:row>121</xdr:row>
      <xdr:rowOff>114300</xdr:rowOff>
    </xdr:to>
    <xdr:sp macro="" textlink="">
      <xdr:nvSpPr>
        <xdr:cNvPr id="9235" name="AutoShape 19" descr="Suelo porcelánico Antigua efecto terracota beige 33x33 cm C1 - 1">
          <a:extLst>
            <a:ext uri="{FF2B5EF4-FFF2-40B4-BE49-F238E27FC236}">
              <a16:creationId xmlns:a16="http://schemas.microsoft.com/office/drawing/2014/main" id="{00000000-0008-0000-0100-000013240000}"/>
            </a:ext>
          </a:extLst>
        </xdr:cNvPr>
        <xdr:cNvSpPr>
          <a:spLocks noChangeAspect="1" noChangeArrowheads="1"/>
        </xdr:cNvSpPr>
      </xdr:nvSpPr>
      <xdr:spPr bwMode="auto">
        <a:xfrm>
          <a:off x="2514600" y="20021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125</xdr:row>
      <xdr:rowOff>0</xdr:rowOff>
    </xdr:from>
    <xdr:to>
      <xdr:col>2</xdr:col>
      <xdr:colOff>304800</xdr:colOff>
      <xdr:row>127</xdr:row>
      <xdr:rowOff>15765</xdr:rowOff>
    </xdr:to>
    <xdr:sp macro="" textlink="">
      <xdr:nvSpPr>
        <xdr:cNvPr id="9236" name="AutoShape 20" descr="Suelo porcelánico Antigua efecto terracota beige 33x33 cm C1 - 1">
          <a:extLst>
            <a:ext uri="{FF2B5EF4-FFF2-40B4-BE49-F238E27FC236}">
              <a16:creationId xmlns:a16="http://schemas.microsoft.com/office/drawing/2014/main" id="{00000000-0008-0000-0100-000014240000}"/>
            </a:ext>
          </a:extLst>
        </xdr:cNvPr>
        <xdr:cNvSpPr>
          <a:spLocks noChangeAspect="1" noChangeArrowheads="1"/>
        </xdr:cNvSpPr>
      </xdr:nvSpPr>
      <xdr:spPr bwMode="auto">
        <a:xfrm>
          <a:off x="2514600" y="2097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128</xdr:row>
      <xdr:rowOff>0</xdr:rowOff>
    </xdr:from>
    <xdr:to>
      <xdr:col>2</xdr:col>
      <xdr:colOff>304800</xdr:colOff>
      <xdr:row>129</xdr:row>
      <xdr:rowOff>114300</xdr:rowOff>
    </xdr:to>
    <xdr:sp macro="" textlink="">
      <xdr:nvSpPr>
        <xdr:cNvPr id="9237" name="AutoShape 21" descr="Suelo porcelánico Antigua efecto terracota beige 33x33 cm C1 - 1">
          <a:extLst>
            <a:ext uri="{FF2B5EF4-FFF2-40B4-BE49-F238E27FC236}">
              <a16:creationId xmlns:a16="http://schemas.microsoft.com/office/drawing/2014/main" id="{00000000-0008-0000-0100-000015240000}"/>
            </a:ext>
          </a:extLst>
        </xdr:cNvPr>
        <xdr:cNvSpPr>
          <a:spLocks noChangeAspect="1" noChangeArrowheads="1"/>
        </xdr:cNvSpPr>
      </xdr:nvSpPr>
      <xdr:spPr bwMode="auto">
        <a:xfrm>
          <a:off x="2514600" y="21355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241789</xdr:colOff>
      <xdr:row>118</xdr:row>
      <xdr:rowOff>1</xdr:rowOff>
    </xdr:from>
    <xdr:to>
      <xdr:col>2</xdr:col>
      <xdr:colOff>996462</xdr:colOff>
      <xdr:row>121</xdr:row>
      <xdr:rowOff>183174</xdr:rowOff>
    </xdr:to>
    <xdr:pic>
      <xdr:nvPicPr>
        <xdr:cNvPr id="26" name="Imagen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5"/>
        <a:stretch>
          <a:fillRect/>
        </a:stretch>
      </xdr:blipFill>
      <xdr:spPr>
        <a:xfrm>
          <a:off x="2754924" y="19636155"/>
          <a:ext cx="754673" cy="754673"/>
        </a:xfrm>
        <a:prstGeom prst="rect">
          <a:avLst/>
        </a:prstGeom>
      </xdr:spPr>
    </xdr:pic>
    <xdr:clientData/>
  </xdr:twoCellAnchor>
  <xdr:twoCellAnchor editAs="oneCell">
    <xdr:from>
      <xdr:col>3</xdr:col>
      <xdr:colOff>67848</xdr:colOff>
      <xdr:row>118</xdr:row>
      <xdr:rowOff>51289</xdr:rowOff>
    </xdr:from>
    <xdr:to>
      <xdr:col>3</xdr:col>
      <xdr:colOff>924657</xdr:colOff>
      <xdr:row>121</xdr:row>
      <xdr:rowOff>161193</xdr:rowOff>
    </xdr:to>
    <xdr:pic>
      <xdr:nvPicPr>
        <xdr:cNvPr id="28" name="Imagen 27" descr="Tarima Flotante Roble Surma P3704 (Pavimento Laminado)">
          <a:extLst>
            <a:ext uri="{FF2B5EF4-FFF2-40B4-BE49-F238E27FC236}">
              <a16:creationId xmlns:a16="http://schemas.microsoft.com/office/drawing/2014/main" id="{00000000-0008-0000-0100-00001C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b="40385"/>
        <a:stretch/>
      </xdr:blipFill>
      <xdr:spPr bwMode="auto">
        <a:xfrm>
          <a:off x="3892502" y="19687443"/>
          <a:ext cx="856809" cy="681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1008366</xdr:colOff>
      <xdr:row>118</xdr:row>
      <xdr:rowOff>71457</xdr:rowOff>
    </xdr:from>
    <xdr:to>
      <xdr:col>5</xdr:col>
      <xdr:colOff>355867</xdr:colOff>
      <xdr:row>121</xdr:row>
      <xdr:rowOff>174734</xdr:rowOff>
    </xdr:to>
    <xdr:pic>
      <xdr:nvPicPr>
        <xdr:cNvPr id="29" name="Imagen 28" descr="Screed Flooring Services at Rs 30 ...">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838073" y="19706095"/>
          <a:ext cx="1205375" cy="674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129</xdr:row>
      <xdr:rowOff>0</xdr:rowOff>
    </xdr:from>
    <xdr:ext cx="304800" cy="304800"/>
    <xdr:sp macro="" textlink="">
      <xdr:nvSpPr>
        <xdr:cNvPr id="31" name="AutoShape 19" descr="Suelo porcelánico Antigua efecto terracota beige 33x33 cm C1 - 1">
          <a:extLst>
            <a:ext uri="{FF2B5EF4-FFF2-40B4-BE49-F238E27FC236}">
              <a16:creationId xmlns:a16="http://schemas.microsoft.com/office/drawing/2014/main" id="{00000000-0008-0000-0100-00001F000000}"/>
            </a:ext>
          </a:extLst>
        </xdr:cNvPr>
        <xdr:cNvSpPr>
          <a:spLocks noChangeAspect="1" noChangeArrowheads="1"/>
        </xdr:cNvSpPr>
      </xdr:nvSpPr>
      <xdr:spPr bwMode="auto">
        <a:xfrm>
          <a:off x="2515914" y="200156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273696</xdr:colOff>
      <xdr:row>126</xdr:row>
      <xdr:rowOff>59121</xdr:rowOff>
    </xdr:from>
    <xdr:to>
      <xdr:col>2</xdr:col>
      <xdr:colOff>650326</xdr:colOff>
      <xdr:row>131</xdr:row>
      <xdr:rowOff>39413</xdr:rowOff>
    </xdr:to>
    <xdr:pic>
      <xdr:nvPicPr>
        <xdr:cNvPr id="35" name="Imagen 34">
          <a:extLst>
            <a:ext uri="{FF2B5EF4-FFF2-40B4-BE49-F238E27FC236}">
              <a16:creationId xmlns:a16="http://schemas.microsoft.com/office/drawing/2014/main" id="{00000000-0008-0000-0100-000023000000}"/>
            </a:ext>
          </a:extLst>
        </xdr:cNvPr>
        <xdr:cNvPicPr>
          <a:picLocks noChangeAspect="1"/>
        </xdr:cNvPicPr>
      </xdr:nvPicPr>
      <xdr:blipFill rotWithShape="1">
        <a:blip xmlns:r="http://schemas.openxmlformats.org/officeDocument/2006/relationships" r:embed="rId18"/>
        <a:srcRect t="25051" r="73484" b="13830"/>
        <a:stretch/>
      </xdr:blipFill>
      <xdr:spPr>
        <a:xfrm>
          <a:off x="2789610" y="21322862"/>
          <a:ext cx="376630" cy="840827"/>
        </a:xfrm>
        <a:prstGeom prst="rect">
          <a:avLst/>
        </a:prstGeom>
      </xdr:spPr>
    </xdr:pic>
    <xdr:clientData/>
  </xdr:twoCellAnchor>
  <xdr:twoCellAnchor editAs="oneCell">
    <xdr:from>
      <xdr:col>3</xdr:col>
      <xdr:colOff>131380</xdr:colOff>
      <xdr:row>126</xdr:row>
      <xdr:rowOff>52551</xdr:rowOff>
    </xdr:from>
    <xdr:to>
      <xdr:col>3</xdr:col>
      <xdr:colOff>588743</xdr:colOff>
      <xdr:row>131</xdr:row>
      <xdr:rowOff>19706</xdr:rowOff>
    </xdr:to>
    <xdr:pic>
      <xdr:nvPicPr>
        <xdr:cNvPr id="37" name="Imagen 36" descr="Acoustic Wall System">
          <a:extLst>
            <a:ext uri="{FF2B5EF4-FFF2-40B4-BE49-F238E27FC236}">
              <a16:creationId xmlns:a16="http://schemas.microsoft.com/office/drawing/2014/main" id="{00000000-0008-0000-0100-000025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39262" t="16838" r="37303" b="14551"/>
        <a:stretch/>
      </xdr:blipFill>
      <xdr:spPr bwMode="auto">
        <a:xfrm>
          <a:off x="3961087" y="21316292"/>
          <a:ext cx="457363" cy="827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45984</xdr:colOff>
      <xdr:row>126</xdr:row>
      <xdr:rowOff>26275</xdr:rowOff>
    </xdr:from>
    <xdr:to>
      <xdr:col>5</xdr:col>
      <xdr:colOff>40884</xdr:colOff>
      <xdr:row>130</xdr:row>
      <xdr:rowOff>183932</xdr:rowOff>
    </xdr:to>
    <xdr:pic>
      <xdr:nvPicPr>
        <xdr:cNvPr id="38" name="Imagen 37">
          <a:extLst>
            <a:ext uri="{FF2B5EF4-FFF2-40B4-BE49-F238E27FC236}">
              <a16:creationId xmlns:a16="http://schemas.microsoft.com/office/drawing/2014/main" id="{00000000-0008-0000-0100-000026000000}"/>
            </a:ext>
          </a:extLst>
        </xdr:cNvPr>
        <xdr:cNvPicPr>
          <a:picLocks noChangeAspect="1"/>
        </xdr:cNvPicPr>
      </xdr:nvPicPr>
      <xdr:blipFill rotWithShape="1">
        <a:blip xmlns:r="http://schemas.openxmlformats.org/officeDocument/2006/relationships" r:embed="rId20"/>
        <a:srcRect l="21058" t="19663" r="22625" b="21566"/>
        <a:stretch/>
      </xdr:blipFill>
      <xdr:spPr>
        <a:xfrm>
          <a:off x="4913587" y="21290016"/>
          <a:ext cx="756900" cy="827692"/>
        </a:xfrm>
        <a:prstGeom prst="rect">
          <a:avLst/>
        </a:prstGeom>
      </xdr:spPr>
    </xdr:pic>
    <xdr:clientData/>
  </xdr:twoCellAnchor>
  <xdr:oneCellAnchor>
    <xdr:from>
      <xdr:col>2</xdr:col>
      <xdr:colOff>0</xdr:colOff>
      <xdr:row>134</xdr:row>
      <xdr:rowOff>0</xdr:rowOff>
    </xdr:from>
    <xdr:ext cx="304800" cy="304800"/>
    <xdr:sp macro="" textlink="">
      <xdr:nvSpPr>
        <xdr:cNvPr id="39" name="AutoShape 20" descr="Suelo porcelánico Antigua efecto terracota beige 33x33 cm C1 - 1">
          <a:extLst>
            <a:ext uri="{FF2B5EF4-FFF2-40B4-BE49-F238E27FC236}">
              <a16:creationId xmlns:a16="http://schemas.microsoft.com/office/drawing/2014/main" id="{00000000-0008-0000-0100-000027000000}"/>
            </a:ext>
          </a:extLst>
        </xdr:cNvPr>
        <xdr:cNvSpPr>
          <a:spLocks noChangeAspect="1" noChangeArrowheads="1"/>
        </xdr:cNvSpPr>
      </xdr:nvSpPr>
      <xdr:spPr bwMode="auto">
        <a:xfrm>
          <a:off x="2515914" y="210732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137</xdr:row>
      <xdr:rowOff>0</xdr:rowOff>
    </xdr:from>
    <xdr:ext cx="304800" cy="304800"/>
    <xdr:sp macro="" textlink="">
      <xdr:nvSpPr>
        <xdr:cNvPr id="40" name="AutoShape 21" descr="Suelo porcelánico Antigua efecto terracota beige 33x33 cm C1 - 1">
          <a:extLst>
            <a:ext uri="{FF2B5EF4-FFF2-40B4-BE49-F238E27FC236}">
              <a16:creationId xmlns:a16="http://schemas.microsoft.com/office/drawing/2014/main" id="{00000000-0008-0000-0100-000028000000}"/>
            </a:ext>
          </a:extLst>
        </xdr:cNvPr>
        <xdr:cNvSpPr>
          <a:spLocks noChangeAspect="1" noChangeArrowheads="1"/>
        </xdr:cNvSpPr>
      </xdr:nvSpPr>
      <xdr:spPr bwMode="auto">
        <a:xfrm>
          <a:off x="2515914" y="215527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138</xdr:row>
      <xdr:rowOff>0</xdr:rowOff>
    </xdr:from>
    <xdr:ext cx="304800" cy="304800"/>
    <xdr:sp macro="" textlink="">
      <xdr:nvSpPr>
        <xdr:cNvPr id="41" name="AutoShape 19" descr="Suelo porcelánico Antigua efecto terracota beige 33x33 cm C1 - 1">
          <a:extLst>
            <a:ext uri="{FF2B5EF4-FFF2-40B4-BE49-F238E27FC236}">
              <a16:creationId xmlns:a16="http://schemas.microsoft.com/office/drawing/2014/main" id="{00000000-0008-0000-0100-000029000000}"/>
            </a:ext>
          </a:extLst>
        </xdr:cNvPr>
        <xdr:cNvSpPr>
          <a:spLocks noChangeAspect="1" noChangeArrowheads="1"/>
        </xdr:cNvSpPr>
      </xdr:nvSpPr>
      <xdr:spPr bwMode="auto">
        <a:xfrm>
          <a:off x="2515914" y="217432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1241534</xdr:colOff>
      <xdr:row>135</xdr:row>
      <xdr:rowOff>157655</xdr:rowOff>
    </xdr:from>
    <xdr:to>
      <xdr:col>2</xdr:col>
      <xdr:colOff>775138</xdr:colOff>
      <xdr:row>139</xdr:row>
      <xdr:rowOff>151306</xdr:rowOff>
    </xdr:to>
    <xdr:pic>
      <xdr:nvPicPr>
        <xdr:cNvPr id="45" name="Imagen 44" descr="Escaleras de hormigón industrializado ...">
          <a:extLst>
            <a:ext uri="{FF2B5EF4-FFF2-40B4-BE49-F238E27FC236}">
              <a16:creationId xmlns:a16="http://schemas.microsoft.com/office/drawing/2014/main" id="{00000000-0008-0000-0100-00002D000000}"/>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l="27164" r="21742"/>
        <a:stretch/>
      </xdr:blipFill>
      <xdr:spPr bwMode="auto">
        <a:xfrm>
          <a:off x="2509344" y="23043931"/>
          <a:ext cx="781708" cy="755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41313</xdr:colOff>
      <xdr:row>135</xdr:row>
      <xdr:rowOff>177361</xdr:rowOff>
    </xdr:from>
    <xdr:to>
      <xdr:col>3</xdr:col>
      <xdr:colOff>479534</xdr:colOff>
      <xdr:row>140</xdr:row>
      <xdr:rowOff>3622</xdr:rowOff>
    </xdr:to>
    <xdr:pic>
      <xdr:nvPicPr>
        <xdr:cNvPr id="46" name="Imagen 45" descr="Escalera metálica a tramos rectos con peldaños en madera">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871020" y="23063637"/>
          <a:ext cx="438221" cy="778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878613</xdr:colOff>
      <xdr:row>136</xdr:row>
      <xdr:rowOff>59529</xdr:rowOff>
    </xdr:from>
    <xdr:to>
      <xdr:col>4</xdr:col>
      <xdr:colOff>652882</xdr:colOff>
      <xdr:row>139</xdr:row>
      <xdr:rowOff>160734</xdr:rowOff>
    </xdr:to>
    <xdr:pic>
      <xdr:nvPicPr>
        <xdr:cNvPr id="47" name="Imagen 46" descr="Escaleras interiores de madera: una opcion estética y funcional-Dekinsa">
          <a:extLst>
            <a:ext uri="{FF2B5EF4-FFF2-40B4-BE49-F238E27FC236}">
              <a16:creationId xmlns:a16="http://schemas.microsoft.com/office/drawing/2014/main" id="{00000000-0008-0000-0100-00002F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14197"/>
        <a:stretch/>
      </xdr:blipFill>
      <xdr:spPr bwMode="auto">
        <a:xfrm>
          <a:off x="4712426" y="23145748"/>
          <a:ext cx="868090" cy="67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142</xdr:row>
      <xdr:rowOff>0</xdr:rowOff>
    </xdr:from>
    <xdr:ext cx="304800" cy="304800"/>
    <xdr:sp macro="" textlink="">
      <xdr:nvSpPr>
        <xdr:cNvPr id="48" name="AutoShape 20" descr="Suelo porcelánico Antigua efecto terracota beige 33x33 cm C1 - 1">
          <a:extLst>
            <a:ext uri="{FF2B5EF4-FFF2-40B4-BE49-F238E27FC236}">
              <a16:creationId xmlns:a16="http://schemas.microsoft.com/office/drawing/2014/main" id="{00000000-0008-0000-0100-000030000000}"/>
            </a:ext>
          </a:extLst>
        </xdr:cNvPr>
        <xdr:cNvSpPr>
          <a:spLocks noChangeAspect="1" noChangeArrowheads="1"/>
        </xdr:cNvSpPr>
      </xdr:nvSpPr>
      <xdr:spPr bwMode="auto">
        <a:xfrm>
          <a:off x="2518172" y="2270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142</xdr:row>
      <xdr:rowOff>0</xdr:rowOff>
    </xdr:from>
    <xdr:ext cx="304800" cy="304800"/>
    <xdr:sp macro="" textlink="">
      <xdr:nvSpPr>
        <xdr:cNvPr id="49" name="AutoShape 20" descr="Suelo porcelánico Antigua efecto terracota beige 33x33 cm C1 - 1">
          <a:extLst>
            <a:ext uri="{FF2B5EF4-FFF2-40B4-BE49-F238E27FC236}">
              <a16:creationId xmlns:a16="http://schemas.microsoft.com/office/drawing/2014/main" id="{00000000-0008-0000-0100-000031000000}"/>
            </a:ext>
          </a:extLst>
        </xdr:cNvPr>
        <xdr:cNvSpPr>
          <a:spLocks noChangeAspect="1" noChangeArrowheads="1"/>
        </xdr:cNvSpPr>
      </xdr:nvSpPr>
      <xdr:spPr bwMode="auto">
        <a:xfrm>
          <a:off x="2518172" y="2270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146</xdr:row>
      <xdr:rowOff>0</xdr:rowOff>
    </xdr:from>
    <xdr:ext cx="304800" cy="304800"/>
    <xdr:sp macro="" textlink="">
      <xdr:nvSpPr>
        <xdr:cNvPr id="50" name="AutoShape 21" descr="Suelo porcelánico Antigua efecto terracota beige 33x33 cm C1 - 1">
          <a:extLst>
            <a:ext uri="{FF2B5EF4-FFF2-40B4-BE49-F238E27FC236}">
              <a16:creationId xmlns:a16="http://schemas.microsoft.com/office/drawing/2014/main" id="{00000000-0008-0000-0100-000032000000}"/>
            </a:ext>
          </a:extLst>
        </xdr:cNvPr>
        <xdr:cNvSpPr>
          <a:spLocks noChangeAspect="1" noChangeArrowheads="1"/>
        </xdr:cNvSpPr>
      </xdr:nvSpPr>
      <xdr:spPr bwMode="auto">
        <a:xfrm>
          <a:off x="2518172" y="232767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147</xdr:row>
      <xdr:rowOff>0</xdr:rowOff>
    </xdr:from>
    <xdr:ext cx="304800" cy="304800"/>
    <xdr:sp macro="" textlink="">
      <xdr:nvSpPr>
        <xdr:cNvPr id="51" name="AutoShape 19" descr="Suelo porcelánico Antigua efecto terracota beige 33x33 cm C1 - 1">
          <a:extLst>
            <a:ext uri="{FF2B5EF4-FFF2-40B4-BE49-F238E27FC236}">
              <a16:creationId xmlns:a16="http://schemas.microsoft.com/office/drawing/2014/main" id="{00000000-0008-0000-0100-000033000000}"/>
            </a:ext>
          </a:extLst>
        </xdr:cNvPr>
        <xdr:cNvSpPr>
          <a:spLocks noChangeAspect="1" noChangeArrowheads="1"/>
        </xdr:cNvSpPr>
      </xdr:nvSpPr>
      <xdr:spPr bwMode="auto">
        <a:xfrm>
          <a:off x="2518172" y="23467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329492</xdr:colOff>
      <xdr:row>144</xdr:row>
      <xdr:rowOff>135425</xdr:rowOff>
    </xdr:from>
    <xdr:to>
      <xdr:col>2</xdr:col>
      <xdr:colOff>969064</xdr:colOff>
      <xdr:row>148</xdr:row>
      <xdr:rowOff>165654</xdr:rowOff>
    </xdr:to>
    <xdr:pic>
      <xdr:nvPicPr>
        <xdr:cNvPr id="55" name="Imagen 54">
          <a:extLst>
            <a:ext uri="{FF2B5EF4-FFF2-40B4-BE49-F238E27FC236}">
              <a16:creationId xmlns:a16="http://schemas.microsoft.com/office/drawing/2014/main" id="{00000000-0008-0000-0100-000037000000}"/>
            </a:ext>
          </a:extLst>
        </xdr:cNvPr>
        <xdr:cNvPicPr>
          <a:picLocks noChangeAspect="1"/>
        </xdr:cNvPicPr>
      </xdr:nvPicPr>
      <xdr:blipFill rotWithShape="1">
        <a:blip xmlns:r="http://schemas.openxmlformats.org/officeDocument/2006/relationships" r:embed="rId24"/>
        <a:srcRect t="16282" r="55055" b="13702"/>
        <a:stretch/>
      </xdr:blipFill>
      <xdr:spPr>
        <a:xfrm>
          <a:off x="2847405" y="24552555"/>
          <a:ext cx="639572" cy="792229"/>
        </a:xfrm>
        <a:prstGeom prst="rect">
          <a:avLst/>
        </a:prstGeom>
      </xdr:spPr>
    </xdr:pic>
    <xdr:clientData/>
  </xdr:twoCellAnchor>
  <xdr:twoCellAnchor editAs="oneCell">
    <xdr:from>
      <xdr:col>3</xdr:col>
      <xdr:colOff>24848</xdr:colOff>
      <xdr:row>143</xdr:row>
      <xdr:rowOff>98812</xdr:rowOff>
    </xdr:from>
    <xdr:to>
      <xdr:col>3</xdr:col>
      <xdr:colOff>811695</xdr:colOff>
      <xdr:row>148</xdr:row>
      <xdr:rowOff>143238</xdr:rowOff>
    </xdr:to>
    <xdr:pic>
      <xdr:nvPicPr>
        <xdr:cNvPr id="56" name="Imagen 55">
          <a:extLst>
            <a:ext uri="{FF2B5EF4-FFF2-40B4-BE49-F238E27FC236}">
              <a16:creationId xmlns:a16="http://schemas.microsoft.com/office/drawing/2014/main" id="{00000000-0008-0000-0100-000038000000}"/>
            </a:ext>
          </a:extLst>
        </xdr:cNvPr>
        <xdr:cNvPicPr>
          <a:picLocks noChangeAspect="1"/>
        </xdr:cNvPicPr>
      </xdr:nvPicPr>
      <xdr:blipFill rotWithShape="1">
        <a:blip xmlns:r="http://schemas.openxmlformats.org/officeDocument/2006/relationships" r:embed="rId25"/>
        <a:srcRect l="27119" t="19774" r="13349" b="13647"/>
        <a:stretch/>
      </xdr:blipFill>
      <xdr:spPr>
        <a:xfrm>
          <a:off x="3859696" y="24515942"/>
          <a:ext cx="786847" cy="914100"/>
        </a:xfrm>
        <a:prstGeom prst="rect">
          <a:avLst/>
        </a:prstGeom>
      </xdr:spPr>
    </xdr:pic>
    <xdr:clientData/>
  </xdr:twoCellAnchor>
  <xdr:twoCellAnchor editAs="oneCell">
    <xdr:from>
      <xdr:col>4</xdr:col>
      <xdr:colOff>304524</xdr:colOff>
      <xdr:row>143</xdr:row>
      <xdr:rowOff>157369</xdr:rowOff>
    </xdr:from>
    <xdr:to>
      <xdr:col>5</xdr:col>
      <xdr:colOff>166757</xdr:colOff>
      <xdr:row>149</xdr:row>
      <xdr:rowOff>25675</xdr:rowOff>
    </xdr:to>
    <xdr:pic>
      <xdr:nvPicPr>
        <xdr:cNvPr id="57" name="Imagen 56">
          <a:extLst>
            <a:ext uri="{FF2B5EF4-FFF2-40B4-BE49-F238E27FC236}">
              <a16:creationId xmlns:a16="http://schemas.microsoft.com/office/drawing/2014/main" id="{00000000-0008-0000-0100-000039000000}"/>
            </a:ext>
          </a:extLst>
        </xdr:cNvPr>
        <xdr:cNvPicPr>
          <a:picLocks noChangeAspect="1"/>
        </xdr:cNvPicPr>
      </xdr:nvPicPr>
      <xdr:blipFill rotWithShape="1">
        <a:blip xmlns:r="http://schemas.openxmlformats.org/officeDocument/2006/relationships" r:embed="rId26"/>
        <a:srcRect l="1315" t="18251" r="68696" b="14702"/>
        <a:stretch/>
      </xdr:blipFill>
      <xdr:spPr>
        <a:xfrm>
          <a:off x="5174698" y="24574499"/>
          <a:ext cx="624233" cy="985630"/>
        </a:xfrm>
        <a:prstGeom prst="rect">
          <a:avLst/>
        </a:prstGeom>
      </xdr:spPr>
    </xdr:pic>
    <xdr:clientData/>
  </xdr:twoCellAnchor>
  <xdr:oneCellAnchor>
    <xdr:from>
      <xdr:col>2</xdr:col>
      <xdr:colOff>0</xdr:colOff>
      <xdr:row>160</xdr:row>
      <xdr:rowOff>0</xdr:rowOff>
    </xdr:from>
    <xdr:ext cx="304800" cy="304800"/>
    <xdr:sp macro="" textlink="">
      <xdr:nvSpPr>
        <xdr:cNvPr id="60" name="AutoShape 20" descr="Suelo porcelánico Antigua efecto terracota beige 33x33 cm C1 - 1">
          <a:extLst>
            <a:ext uri="{FF2B5EF4-FFF2-40B4-BE49-F238E27FC236}">
              <a16:creationId xmlns:a16="http://schemas.microsoft.com/office/drawing/2014/main" id="{00000000-0008-0000-0100-00003C000000}"/>
            </a:ext>
          </a:extLst>
        </xdr:cNvPr>
        <xdr:cNvSpPr>
          <a:spLocks noChangeAspect="1" noChangeArrowheads="1"/>
        </xdr:cNvSpPr>
      </xdr:nvSpPr>
      <xdr:spPr bwMode="auto">
        <a:xfrm>
          <a:off x="2517913" y="2422663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160</xdr:row>
      <xdr:rowOff>0</xdr:rowOff>
    </xdr:from>
    <xdr:ext cx="304800" cy="304800"/>
    <xdr:sp macro="" textlink="">
      <xdr:nvSpPr>
        <xdr:cNvPr id="61" name="AutoShape 20" descr="Suelo porcelánico Antigua efecto terracota beige 33x33 cm C1 - 1">
          <a:extLst>
            <a:ext uri="{FF2B5EF4-FFF2-40B4-BE49-F238E27FC236}">
              <a16:creationId xmlns:a16="http://schemas.microsoft.com/office/drawing/2014/main" id="{00000000-0008-0000-0100-00003D000000}"/>
            </a:ext>
          </a:extLst>
        </xdr:cNvPr>
        <xdr:cNvSpPr>
          <a:spLocks noChangeAspect="1" noChangeArrowheads="1"/>
        </xdr:cNvSpPr>
      </xdr:nvSpPr>
      <xdr:spPr bwMode="auto">
        <a:xfrm>
          <a:off x="2517913" y="2422663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164</xdr:row>
      <xdr:rowOff>0</xdr:rowOff>
    </xdr:from>
    <xdr:ext cx="304800" cy="304800"/>
    <xdr:sp macro="" textlink="">
      <xdr:nvSpPr>
        <xdr:cNvPr id="62" name="AutoShape 21" descr="Suelo porcelánico Antigua efecto terracota beige 33x33 cm C1 - 1">
          <a:extLst>
            <a:ext uri="{FF2B5EF4-FFF2-40B4-BE49-F238E27FC236}">
              <a16:creationId xmlns:a16="http://schemas.microsoft.com/office/drawing/2014/main" id="{00000000-0008-0000-0100-00003E000000}"/>
            </a:ext>
          </a:extLst>
        </xdr:cNvPr>
        <xdr:cNvSpPr>
          <a:spLocks noChangeAspect="1" noChangeArrowheads="1"/>
        </xdr:cNvSpPr>
      </xdr:nvSpPr>
      <xdr:spPr bwMode="auto">
        <a:xfrm>
          <a:off x="2517913" y="2490580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165</xdr:row>
      <xdr:rowOff>0</xdr:rowOff>
    </xdr:from>
    <xdr:ext cx="304800" cy="304800"/>
    <xdr:sp macro="" textlink="">
      <xdr:nvSpPr>
        <xdr:cNvPr id="63" name="AutoShape 19" descr="Suelo porcelánico Antigua efecto terracota beige 33x33 cm C1 - 1">
          <a:extLst>
            <a:ext uri="{FF2B5EF4-FFF2-40B4-BE49-F238E27FC236}">
              <a16:creationId xmlns:a16="http://schemas.microsoft.com/office/drawing/2014/main" id="{00000000-0008-0000-0100-00003F000000}"/>
            </a:ext>
          </a:extLst>
        </xdr:cNvPr>
        <xdr:cNvSpPr>
          <a:spLocks noChangeAspect="1" noChangeArrowheads="1"/>
        </xdr:cNvSpPr>
      </xdr:nvSpPr>
      <xdr:spPr bwMode="auto">
        <a:xfrm>
          <a:off x="2517913" y="2509630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42842</xdr:colOff>
      <xdr:row>161</xdr:row>
      <xdr:rowOff>77686</xdr:rowOff>
    </xdr:from>
    <xdr:to>
      <xdr:col>2</xdr:col>
      <xdr:colOff>1092662</xdr:colOff>
      <xdr:row>166</xdr:row>
      <xdr:rowOff>175006</xdr:rowOff>
    </xdr:to>
    <xdr:pic>
      <xdr:nvPicPr>
        <xdr:cNvPr id="9219" name="Imagen 9218" descr="VENTANA PVC 1400X1200 BLANCO S/PERS 4 ...">
          <a:extLst>
            <a:ext uri="{FF2B5EF4-FFF2-40B4-BE49-F238E27FC236}">
              <a16:creationId xmlns:a16="http://schemas.microsoft.com/office/drawing/2014/main" id="{00000000-0008-0000-0100-00000324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558756" y="27831565"/>
          <a:ext cx="1049820" cy="104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268125</xdr:colOff>
      <xdr:row>161</xdr:row>
      <xdr:rowOff>78551</xdr:rowOff>
    </xdr:from>
    <xdr:to>
      <xdr:col>3</xdr:col>
      <xdr:colOff>798333</xdr:colOff>
      <xdr:row>166</xdr:row>
      <xdr:rowOff>162582</xdr:rowOff>
    </xdr:to>
    <xdr:pic>
      <xdr:nvPicPr>
        <xdr:cNvPr id="9220" name="Imagen 9219" descr="Ventana de Madera Iroko - Ventanas de Madera - Puertas Calvente">
          <a:extLst>
            <a:ext uri="{FF2B5EF4-FFF2-40B4-BE49-F238E27FC236}">
              <a16:creationId xmlns:a16="http://schemas.microsoft.com/office/drawing/2014/main" id="{00000000-0008-0000-0100-000004240000}"/>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22953" r="26069"/>
        <a:stretch/>
      </xdr:blipFill>
      <xdr:spPr bwMode="auto">
        <a:xfrm>
          <a:off x="4097832" y="27832430"/>
          <a:ext cx="530208" cy="1036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193992</xdr:colOff>
      <xdr:row>161</xdr:row>
      <xdr:rowOff>106746</xdr:rowOff>
    </xdr:from>
    <xdr:to>
      <xdr:col>5</xdr:col>
      <xdr:colOff>322688</xdr:colOff>
      <xdr:row>167</xdr:row>
      <xdr:rowOff>5543</xdr:rowOff>
    </xdr:to>
    <xdr:pic>
      <xdr:nvPicPr>
        <xdr:cNvPr id="9221" name="Imagen 9220" descr="Ventana Aluminio 2 hojas 1 ...">
          <a:extLst>
            <a:ext uri="{FF2B5EF4-FFF2-40B4-BE49-F238E27FC236}">
              <a16:creationId xmlns:a16="http://schemas.microsoft.com/office/drawing/2014/main" id="{00000000-0008-0000-0100-000005240000}"/>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10433" t="2788" r="11561" b="5923"/>
        <a:stretch/>
      </xdr:blipFill>
      <xdr:spPr bwMode="auto">
        <a:xfrm>
          <a:off x="5061595" y="27860625"/>
          <a:ext cx="890696" cy="1041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171</xdr:row>
      <xdr:rowOff>0</xdr:rowOff>
    </xdr:from>
    <xdr:ext cx="304800" cy="304800"/>
    <xdr:sp macro="" textlink="">
      <xdr:nvSpPr>
        <xdr:cNvPr id="9222" name="AutoShape 20" descr="Suelo porcelánico Antigua efecto terracota beige 33x33 cm C1 - 1">
          <a:extLst>
            <a:ext uri="{FF2B5EF4-FFF2-40B4-BE49-F238E27FC236}">
              <a16:creationId xmlns:a16="http://schemas.microsoft.com/office/drawing/2014/main" id="{00000000-0008-0000-0100-000006240000}"/>
            </a:ext>
          </a:extLst>
        </xdr:cNvPr>
        <xdr:cNvSpPr>
          <a:spLocks noChangeAspect="1" noChangeArrowheads="1"/>
        </xdr:cNvSpPr>
      </xdr:nvSpPr>
      <xdr:spPr bwMode="auto">
        <a:xfrm>
          <a:off x="2517913" y="2776330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171</xdr:row>
      <xdr:rowOff>0</xdr:rowOff>
    </xdr:from>
    <xdr:ext cx="304800" cy="304800"/>
    <xdr:sp macro="" textlink="">
      <xdr:nvSpPr>
        <xdr:cNvPr id="9223" name="AutoShape 20" descr="Suelo porcelánico Antigua efecto terracota beige 33x33 cm C1 - 1">
          <a:extLst>
            <a:ext uri="{FF2B5EF4-FFF2-40B4-BE49-F238E27FC236}">
              <a16:creationId xmlns:a16="http://schemas.microsoft.com/office/drawing/2014/main" id="{00000000-0008-0000-0100-000007240000}"/>
            </a:ext>
          </a:extLst>
        </xdr:cNvPr>
        <xdr:cNvSpPr>
          <a:spLocks noChangeAspect="1" noChangeArrowheads="1"/>
        </xdr:cNvSpPr>
      </xdr:nvSpPr>
      <xdr:spPr bwMode="auto">
        <a:xfrm>
          <a:off x="2517913" y="2776330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179</xdr:row>
      <xdr:rowOff>0</xdr:rowOff>
    </xdr:from>
    <xdr:ext cx="304800" cy="304800"/>
    <xdr:sp macro="" textlink="">
      <xdr:nvSpPr>
        <xdr:cNvPr id="9224" name="AutoShape 21" descr="Suelo porcelánico Antigua efecto terracota beige 33x33 cm C1 - 1">
          <a:extLst>
            <a:ext uri="{FF2B5EF4-FFF2-40B4-BE49-F238E27FC236}">
              <a16:creationId xmlns:a16="http://schemas.microsoft.com/office/drawing/2014/main" id="{00000000-0008-0000-0100-000008240000}"/>
            </a:ext>
          </a:extLst>
        </xdr:cNvPr>
        <xdr:cNvSpPr>
          <a:spLocks noChangeAspect="1" noChangeArrowheads="1"/>
        </xdr:cNvSpPr>
      </xdr:nvSpPr>
      <xdr:spPr bwMode="auto">
        <a:xfrm>
          <a:off x="2517913" y="2852530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180</xdr:row>
      <xdr:rowOff>0</xdr:rowOff>
    </xdr:from>
    <xdr:ext cx="304800" cy="304800"/>
    <xdr:sp macro="" textlink="">
      <xdr:nvSpPr>
        <xdr:cNvPr id="9225" name="AutoShape 19" descr="Suelo porcelánico Antigua efecto terracota beige 33x33 cm C1 - 1">
          <a:extLst>
            <a:ext uri="{FF2B5EF4-FFF2-40B4-BE49-F238E27FC236}">
              <a16:creationId xmlns:a16="http://schemas.microsoft.com/office/drawing/2014/main" id="{00000000-0008-0000-0100-000009240000}"/>
            </a:ext>
          </a:extLst>
        </xdr:cNvPr>
        <xdr:cNvSpPr>
          <a:spLocks noChangeAspect="1" noChangeArrowheads="1"/>
        </xdr:cNvSpPr>
      </xdr:nvSpPr>
      <xdr:spPr bwMode="auto">
        <a:xfrm>
          <a:off x="2517913" y="2871580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629474</xdr:colOff>
      <xdr:row>172</xdr:row>
      <xdr:rowOff>129819</xdr:rowOff>
    </xdr:from>
    <xdr:to>
      <xdr:col>4</xdr:col>
      <xdr:colOff>397564</xdr:colOff>
      <xdr:row>181</xdr:row>
      <xdr:rowOff>150068</xdr:rowOff>
    </xdr:to>
    <xdr:pic>
      <xdr:nvPicPr>
        <xdr:cNvPr id="9229" name="Imagen 9228" descr="The Importance of Water Flow Reducing Layer in an Inverted Flat Roof from  Ravago Building Solutions - ribacpd.com">
          <a:extLst>
            <a:ext uri="{FF2B5EF4-FFF2-40B4-BE49-F238E27FC236}">
              <a16:creationId xmlns:a16="http://schemas.microsoft.com/office/drawing/2014/main" id="{00000000-0008-0000-0100-00000D240000}"/>
            </a:ext>
          </a:extLst>
        </xdr:cNvPr>
        <xdr:cNvPicPr>
          <a:picLocks noChangeAspect="1" noChangeArrowheads="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t="11676" b="16771"/>
        <a:stretch/>
      </xdr:blipFill>
      <xdr:spPr bwMode="auto">
        <a:xfrm>
          <a:off x="1896713" y="30179123"/>
          <a:ext cx="3429003" cy="1734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184</xdr:row>
      <xdr:rowOff>0</xdr:rowOff>
    </xdr:from>
    <xdr:ext cx="304800" cy="304800"/>
    <xdr:sp macro="" textlink="">
      <xdr:nvSpPr>
        <xdr:cNvPr id="9230" name="AutoShape 20" descr="Suelo porcelánico Antigua efecto terracota beige 33x33 cm C1 - 1">
          <a:extLst>
            <a:ext uri="{FF2B5EF4-FFF2-40B4-BE49-F238E27FC236}">
              <a16:creationId xmlns:a16="http://schemas.microsoft.com/office/drawing/2014/main" id="{00000000-0008-0000-0100-00000E240000}"/>
            </a:ext>
          </a:extLst>
        </xdr:cNvPr>
        <xdr:cNvSpPr>
          <a:spLocks noChangeAspect="1" noChangeArrowheads="1"/>
        </xdr:cNvSpPr>
      </xdr:nvSpPr>
      <xdr:spPr bwMode="auto">
        <a:xfrm>
          <a:off x="2517913" y="2985880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184</xdr:row>
      <xdr:rowOff>0</xdr:rowOff>
    </xdr:from>
    <xdr:ext cx="304800" cy="304800"/>
    <xdr:sp macro="" textlink="">
      <xdr:nvSpPr>
        <xdr:cNvPr id="9231" name="AutoShape 20" descr="Suelo porcelánico Antigua efecto terracota beige 33x33 cm C1 - 1">
          <a:extLst>
            <a:ext uri="{FF2B5EF4-FFF2-40B4-BE49-F238E27FC236}">
              <a16:creationId xmlns:a16="http://schemas.microsoft.com/office/drawing/2014/main" id="{00000000-0008-0000-0100-00000F240000}"/>
            </a:ext>
          </a:extLst>
        </xdr:cNvPr>
        <xdr:cNvSpPr>
          <a:spLocks noChangeAspect="1" noChangeArrowheads="1"/>
        </xdr:cNvSpPr>
      </xdr:nvSpPr>
      <xdr:spPr bwMode="auto">
        <a:xfrm>
          <a:off x="2517913" y="2985880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192</xdr:row>
      <xdr:rowOff>0</xdr:rowOff>
    </xdr:from>
    <xdr:ext cx="304800" cy="304800"/>
    <xdr:sp macro="" textlink="">
      <xdr:nvSpPr>
        <xdr:cNvPr id="9232" name="AutoShape 21" descr="Suelo porcelánico Antigua efecto terracota beige 33x33 cm C1 - 1">
          <a:extLst>
            <a:ext uri="{FF2B5EF4-FFF2-40B4-BE49-F238E27FC236}">
              <a16:creationId xmlns:a16="http://schemas.microsoft.com/office/drawing/2014/main" id="{00000000-0008-0000-0100-000010240000}"/>
            </a:ext>
          </a:extLst>
        </xdr:cNvPr>
        <xdr:cNvSpPr>
          <a:spLocks noChangeAspect="1" noChangeArrowheads="1"/>
        </xdr:cNvSpPr>
      </xdr:nvSpPr>
      <xdr:spPr bwMode="auto">
        <a:xfrm>
          <a:off x="2517913" y="3138280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193</xdr:row>
      <xdr:rowOff>0</xdr:rowOff>
    </xdr:from>
    <xdr:ext cx="304800" cy="304800"/>
    <xdr:sp macro="" textlink="">
      <xdr:nvSpPr>
        <xdr:cNvPr id="9233" name="AutoShape 19" descr="Suelo porcelánico Antigua efecto terracota beige 33x33 cm C1 - 1">
          <a:extLst>
            <a:ext uri="{FF2B5EF4-FFF2-40B4-BE49-F238E27FC236}">
              <a16:creationId xmlns:a16="http://schemas.microsoft.com/office/drawing/2014/main" id="{00000000-0008-0000-0100-000011240000}"/>
            </a:ext>
          </a:extLst>
        </xdr:cNvPr>
        <xdr:cNvSpPr>
          <a:spLocks noChangeAspect="1" noChangeArrowheads="1"/>
        </xdr:cNvSpPr>
      </xdr:nvSpPr>
      <xdr:spPr bwMode="auto">
        <a:xfrm>
          <a:off x="2517913" y="3157330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1307381</xdr:colOff>
      <xdr:row>185</xdr:row>
      <xdr:rowOff>74543</xdr:rowOff>
    </xdr:from>
    <xdr:to>
      <xdr:col>6</xdr:col>
      <xdr:colOff>657347</xdr:colOff>
      <xdr:row>194</xdr:row>
      <xdr:rowOff>112998</xdr:rowOff>
    </xdr:to>
    <xdr:pic>
      <xdr:nvPicPr>
        <xdr:cNvPr id="9238" name="Imagen 9237" descr="8 Important Parts of Your Roof">
          <a:extLst>
            <a:ext uri="{FF2B5EF4-FFF2-40B4-BE49-F238E27FC236}">
              <a16:creationId xmlns:a16="http://schemas.microsoft.com/office/drawing/2014/main" id="{00000000-0008-0000-0100-000016240000}"/>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t="18697" b="23064"/>
        <a:stretch/>
      </xdr:blipFill>
      <xdr:spPr bwMode="auto">
        <a:xfrm>
          <a:off x="3825294" y="32600347"/>
          <a:ext cx="3284205" cy="1752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389284</xdr:colOff>
      <xdr:row>186</xdr:row>
      <xdr:rowOff>33130</xdr:rowOff>
    </xdr:from>
    <xdr:to>
      <xdr:col>2</xdr:col>
      <xdr:colOff>1197172</xdr:colOff>
      <xdr:row>194</xdr:row>
      <xdr:rowOff>74544</xdr:rowOff>
    </xdr:to>
    <xdr:pic>
      <xdr:nvPicPr>
        <xdr:cNvPr id="9239" name="Imagen 9238" descr="Tabique palomero: Aislar cubierta entre tabiques palomeros">
          <a:extLst>
            <a:ext uri="{FF2B5EF4-FFF2-40B4-BE49-F238E27FC236}">
              <a16:creationId xmlns:a16="http://schemas.microsoft.com/office/drawing/2014/main" id="{00000000-0008-0000-0100-00001724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656523" y="32749434"/>
          <a:ext cx="2058562" cy="1565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197</xdr:row>
      <xdr:rowOff>0</xdr:rowOff>
    </xdr:from>
    <xdr:ext cx="304800" cy="304800"/>
    <xdr:sp macro="" textlink="">
      <xdr:nvSpPr>
        <xdr:cNvPr id="9240" name="AutoShape 20" descr="Suelo porcelánico Antigua efecto terracota beige 33x33 cm C1 - 1">
          <a:extLst>
            <a:ext uri="{FF2B5EF4-FFF2-40B4-BE49-F238E27FC236}">
              <a16:creationId xmlns:a16="http://schemas.microsoft.com/office/drawing/2014/main" id="{00000000-0008-0000-0100-000018240000}"/>
            </a:ext>
          </a:extLst>
        </xdr:cNvPr>
        <xdr:cNvSpPr>
          <a:spLocks noChangeAspect="1" noChangeArrowheads="1"/>
        </xdr:cNvSpPr>
      </xdr:nvSpPr>
      <xdr:spPr bwMode="auto">
        <a:xfrm>
          <a:off x="2517913" y="3233530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197</xdr:row>
      <xdr:rowOff>0</xdr:rowOff>
    </xdr:from>
    <xdr:ext cx="304800" cy="304800"/>
    <xdr:sp macro="" textlink="">
      <xdr:nvSpPr>
        <xdr:cNvPr id="9241" name="AutoShape 20" descr="Suelo porcelánico Antigua efecto terracota beige 33x33 cm C1 - 1">
          <a:extLst>
            <a:ext uri="{FF2B5EF4-FFF2-40B4-BE49-F238E27FC236}">
              <a16:creationId xmlns:a16="http://schemas.microsoft.com/office/drawing/2014/main" id="{00000000-0008-0000-0100-000019240000}"/>
            </a:ext>
          </a:extLst>
        </xdr:cNvPr>
        <xdr:cNvSpPr>
          <a:spLocks noChangeAspect="1" noChangeArrowheads="1"/>
        </xdr:cNvSpPr>
      </xdr:nvSpPr>
      <xdr:spPr bwMode="auto">
        <a:xfrm>
          <a:off x="2517913" y="3233530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201</xdr:row>
      <xdr:rowOff>0</xdr:rowOff>
    </xdr:from>
    <xdr:ext cx="304800" cy="304800"/>
    <xdr:sp macro="" textlink="">
      <xdr:nvSpPr>
        <xdr:cNvPr id="9242" name="AutoShape 21" descr="Suelo porcelánico Antigua efecto terracota beige 33x33 cm C1 - 1">
          <a:extLst>
            <a:ext uri="{FF2B5EF4-FFF2-40B4-BE49-F238E27FC236}">
              <a16:creationId xmlns:a16="http://schemas.microsoft.com/office/drawing/2014/main" id="{00000000-0008-0000-0100-00001A240000}"/>
            </a:ext>
          </a:extLst>
        </xdr:cNvPr>
        <xdr:cNvSpPr>
          <a:spLocks noChangeAspect="1" noChangeArrowheads="1"/>
        </xdr:cNvSpPr>
      </xdr:nvSpPr>
      <xdr:spPr bwMode="auto">
        <a:xfrm>
          <a:off x="2517913" y="3385930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201</xdr:row>
      <xdr:rowOff>0</xdr:rowOff>
    </xdr:from>
    <xdr:ext cx="304800" cy="304800"/>
    <xdr:sp macro="" textlink="">
      <xdr:nvSpPr>
        <xdr:cNvPr id="9243" name="AutoShape 19" descr="Suelo porcelánico Antigua efecto terracota beige 33x33 cm C1 - 1">
          <a:extLst>
            <a:ext uri="{FF2B5EF4-FFF2-40B4-BE49-F238E27FC236}">
              <a16:creationId xmlns:a16="http://schemas.microsoft.com/office/drawing/2014/main" id="{00000000-0008-0000-0100-00001B240000}"/>
            </a:ext>
          </a:extLst>
        </xdr:cNvPr>
        <xdr:cNvSpPr>
          <a:spLocks noChangeAspect="1" noChangeArrowheads="1"/>
        </xdr:cNvSpPr>
      </xdr:nvSpPr>
      <xdr:spPr bwMode="auto">
        <a:xfrm>
          <a:off x="2517913" y="3404980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411946</xdr:colOff>
      <xdr:row>1</xdr:row>
      <xdr:rowOff>85226</xdr:rowOff>
    </xdr:from>
    <xdr:to>
      <xdr:col>1</xdr:col>
      <xdr:colOff>729347</xdr:colOff>
      <xdr:row>3</xdr:row>
      <xdr:rowOff>162061</xdr:rowOff>
    </xdr:to>
    <xdr:pic>
      <xdr:nvPicPr>
        <xdr:cNvPr id="9245" name="Imagen 9244">
          <a:extLst>
            <a:ext uri="{FF2B5EF4-FFF2-40B4-BE49-F238E27FC236}">
              <a16:creationId xmlns:a16="http://schemas.microsoft.com/office/drawing/2014/main" id="{00000000-0008-0000-0100-00001D240000}"/>
            </a:ext>
          </a:extLst>
        </xdr:cNvPr>
        <xdr:cNvPicPr>
          <a:picLocks noChangeAspect="1"/>
        </xdr:cNvPicPr>
      </xdr:nvPicPr>
      <xdr:blipFill rotWithShape="1">
        <a:blip xmlns:r="http://schemas.openxmlformats.org/officeDocument/2006/relationships" r:embed="rId33" cstate="print">
          <a:alphaModFix/>
          <a:extLst>
            <a:ext uri="{28A0092B-C50C-407E-A947-70E740481C1C}">
              <a14:useLocalDpi xmlns:a14="http://schemas.microsoft.com/office/drawing/2010/main" val="0"/>
            </a:ext>
          </a:extLst>
        </a:blip>
        <a:srcRect l="4120" t="4573" r="5986"/>
        <a:stretch/>
      </xdr:blipFill>
      <xdr:spPr>
        <a:xfrm>
          <a:off x="411946" y="275726"/>
          <a:ext cx="1584640" cy="457835"/>
        </a:xfrm>
        <a:prstGeom prst="rect">
          <a:avLst/>
        </a:prstGeom>
      </xdr:spPr>
    </xdr:pic>
    <xdr:clientData/>
  </xdr:twoCellAnchor>
  <xdr:twoCellAnchor editAs="oneCell">
    <xdr:from>
      <xdr:col>5</xdr:col>
      <xdr:colOff>134878</xdr:colOff>
      <xdr:row>1</xdr:row>
      <xdr:rowOff>69733</xdr:rowOff>
    </xdr:from>
    <xdr:to>
      <xdr:col>6</xdr:col>
      <xdr:colOff>857508</xdr:colOff>
      <xdr:row>3</xdr:row>
      <xdr:rowOff>138313</xdr:rowOff>
    </xdr:to>
    <xdr:pic>
      <xdr:nvPicPr>
        <xdr:cNvPr id="9246" name="Imagen 9245" descr="Texto&#10;&#10;Descripción generada automáticamente">
          <a:extLst>
            <a:ext uri="{FF2B5EF4-FFF2-40B4-BE49-F238E27FC236}">
              <a16:creationId xmlns:a16="http://schemas.microsoft.com/office/drawing/2014/main" id="{00000000-0008-0000-0100-00001E240000}"/>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30780"/>
        <a:stretch/>
      </xdr:blipFill>
      <xdr:spPr bwMode="auto">
        <a:xfrm>
          <a:off x="5767052" y="260233"/>
          <a:ext cx="1484630" cy="4495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xdr:col>
      <xdr:colOff>17900</xdr:colOff>
      <xdr:row>1</xdr:row>
      <xdr:rowOff>45769</xdr:rowOff>
    </xdr:from>
    <xdr:to>
      <xdr:col>7</xdr:col>
      <xdr:colOff>679570</xdr:colOff>
      <xdr:row>3</xdr:row>
      <xdr:rowOff>134669</xdr:rowOff>
    </xdr:to>
    <xdr:pic>
      <xdr:nvPicPr>
        <xdr:cNvPr id="9247" name="Imagen 9246" descr="Texto&#10;&#10;Descripción generada automáticamente">
          <a:extLst>
            <a:ext uri="{FF2B5EF4-FFF2-40B4-BE49-F238E27FC236}">
              <a16:creationId xmlns:a16="http://schemas.microsoft.com/office/drawing/2014/main" id="{00000000-0008-0000-0100-00001F240000}"/>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t="-6159" r="68671"/>
        <a:stretch/>
      </xdr:blipFill>
      <xdr:spPr bwMode="auto">
        <a:xfrm>
          <a:off x="7298313" y="236269"/>
          <a:ext cx="661670" cy="469900"/>
        </a:xfrm>
        <a:prstGeom prst="rect">
          <a:avLst/>
        </a:prstGeom>
        <a:ln>
          <a:noFill/>
        </a:ln>
        <a:extLst>
          <a:ext uri="{53640926-AAD7-44D8-BBD7-CCE9431645EC}">
            <a14:shadowObscured xmlns:a14="http://schemas.microsoft.com/office/drawing/2010/main"/>
          </a:ext>
        </a:extLst>
      </xdr:spPr>
    </xdr:pic>
    <xdr:clientData/>
  </xdr:twoCellAnchor>
  <xdr:oneCellAnchor>
    <xdr:from>
      <xdr:col>2</xdr:col>
      <xdr:colOff>0</xdr:colOff>
      <xdr:row>203</xdr:row>
      <xdr:rowOff>0</xdr:rowOff>
    </xdr:from>
    <xdr:ext cx="304800" cy="304800"/>
    <xdr:sp macro="" textlink="">
      <xdr:nvSpPr>
        <xdr:cNvPr id="9248" name="AutoShape 20" descr="Suelo porcelánico Antigua efecto terracota beige 33x33 cm C1 - 1">
          <a:extLst>
            <a:ext uri="{FF2B5EF4-FFF2-40B4-BE49-F238E27FC236}">
              <a16:creationId xmlns:a16="http://schemas.microsoft.com/office/drawing/2014/main" id="{00000000-0008-0000-0100-000020240000}"/>
            </a:ext>
          </a:extLst>
        </xdr:cNvPr>
        <xdr:cNvSpPr>
          <a:spLocks noChangeAspect="1" noChangeArrowheads="1"/>
        </xdr:cNvSpPr>
      </xdr:nvSpPr>
      <xdr:spPr bwMode="auto">
        <a:xfrm>
          <a:off x="2517913" y="371889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203</xdr:row>
      <xdr:rowOff>0</xdr:rowOff>
    </xdr:from>
    <xdr:ext cx="304800" cy="304800"/>
    <xdr:sp macro="" textlink="">
      <xdr:nvSpPr>
        <xdr:cNvPr id="9249" name="AutoShape 20" descr="Suelo porcelánico Antigua efecto terracota beige 33x33 cm C1 - 1">
          <a:extLst>
            <a:ext uri="{FF2B5EF4-FFF2-40B4-BE49-F238E27FC236}">
              <a16:creationId xmlns:a16="http://schemas.microsoft.com/office/drawing/2014/main" id="{00000000-0008-0000-0100-000021240000}"/>
            </a:ext>
          </a:extLst>
        </xdr:cNvPr>
        <xdr:cNvSpPr>
          <a:spLocks noChangeAspect="1" noChangeArrowheads="1"/>
        </xdr:cNvSpPr>
      </xdr:nvSpPr>
      <xdr:spPr bwMode="auto">
        <a:xfrm>
          <a:off x="2517913" y="371889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6</xdr:col>
      <xdr:colOff>639536</xdr:colOff>
      <xdr:row>21</xdr:row>
      <xdr:rowOff>68036</xdr:rowOff>
    </xdr:from>
    <xdr:to>
      <xdr:col>17</xdr:col>
      <xdr:colOff>612321</xdr:colOff>
      <xdr:row>23</xdr:row>
      <xdr:rowOff>108857</xdr:rowOff>
    </xdr:to>
    <xdr:cxnSp macro="">
      <xdr:nvCxnSpPr>
        <xdr:cNvPr id="9" name="Conector recto de flecha 8">
          <a:extLst>
            <a:ext uri="{FF2B5EF4-FFF2-40B4-BE49-F238E27FC236}">
              <a16:creationId xmlns:a16="http://schemas.microsoft.com/office/drawing/2014/main" id="{00000000-0008-0000-0200-000009000000}"/>
            </a:ext>
          </a:extLst>
        </xdr:cNvPr>
        <xdr:cNvCxnSpPr/>
      </xdr:nvCxnSpPr>
      <xdr:spPr>
        <a:xfrm flipH="1" flipV="1">
          <a:off x="8382000" y="4313465"/>
          <a:ext cx="9525000" cy="421821"/>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137203</xdr:colOff>
      <xdr:row>143</xdr:row>
      <xdr:rowOff>164246</xdr:rowOff>
    </xdr:from>
    <xdr:to>
      <xdr:col>5</xdr:col>
      <xdr:colOff>224572</xdr:colOff>
      <xdr:row>161</xdr:row>
      <xdr:rowOff>68996</xdr:rowOff>
    </xdr:to>
    <xdr:pic>
      <xdr:nvPicPr>
        <xdr:cNvPr id="3" name="Imagen 2" descr="The Importance of Water Flow Reducing Layer in an Inverted Flat Roof from  Ravago Building Solutions - ribacpd.com">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203" y="27838701"/>
          <a:ext cx="4728642" cy="3333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173383</xdr:colOff>
      <xdr:row>144</xdr:row>
      <xdr:rowOff>188428</xdr:rowOff>
    </xdr:from>
    <xdr:to>
      <xdr:col>16</xdr:col>
      <xdr:colOff>712027</xdr:colOff>
      <xdr:row>160</xdr:row>
      <xdr:rowOff>172442</xdr:rowOff>
    </xdr:to>
    <xdr:pic>
      <xdr:nvPicPr>
        <xdr:cNvPr id="6" name="Imagen 5" descr="Tabique palomero: Aislar cubierta entre tabiques palomeros">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54258" y="28033178"/>
          <a:ext cx="3983519" cy="30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833783</xdr:colOff>
      <xdr:row>146</xdr:row>
      <xdr:rowOff>97518</xdr:rowOff>
    </xdr:from>
    <xdr:to>
      <xdr:col>11</xdr:col>
      <xdr:colOff>289144</xdr:colOff>
      <xdr:row>160</xdr:row>
      <xdr:rowOff>44864</xdr:rowOff>
    </xdr:to>
    <xdr:pic>
      <xdr:nvPicPr>
        <xdr:cNvPr id="7" name="Imagen 6" descr="8 Important Parts of Your Roof">
          <a:extLst>
            <a:ext uri="{FF2B5EF4-FFF2-40B4-BE49-F238E27FC236}">
              <a16:creationId xmlns:a16="http://schemas.microsoft.com/office/drawing/2014/main" id="{00000000-0008-0000-0200-000007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8697" b="23064"/>
        <a:stretch/>
      </xdr:blipFill>
      <xdr:spPr bwMode="auto">
        <a:xfrm>
          <a:off x="6231283" y="28323268"/>
          <a:ext cx="4900486" cy="2614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xdr:col>
          <xdr:colOff>190500</xdr:colOff>
          <xdr:row>143</xdr:row>
          <xdr:rowOff>171450</xdr:rowOff>
        </xdr:from>
        <xdr:to>
          <xdr:col>3</xdr:col>
          <xdr:colOff>628650</xdr:colOff>
          <xdr:row>145</xdr:row>
          <xdr:rowOff>123825</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104775</xdr:colOff>
          <xdr:row>143</xdr:row>
          <xdr:rowOff>114300</xdr:rowOff>
        </xdr:from>
        <xdr:to>
          <xdr:col>16</xdr:col>
          <xdr:colOff>1133475</xdr:colOff>
          <xdr:row>144</xdr:row>
          <xdr:rowOff>171450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144</xdr:row>
          <xdr:rowOff>38100</xdr:rowOff>
        </xdr:from>
        <xdr:to>
          <xdr:col>9</xdr:col>
          <xdr:colOff>657225</xdr:colOff>
          <xdr:row>145</xdr:row>
          <xdr:rowOff>104775</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10755</xdr:colOff>
      <xdr:row>163</xdr:row>
      <xdr:rowOff>157684</xdr:rowOff>
    </xdr:from>
    <xdr:to>
      <xdr:col>5</xdr:col>
      <xdr:colOff>308734</xdr:colOff>
      <xdr:row>184</xdr:row>
      <xdr:rowOff>72723</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stretch>
          <a:fillRect/>
        </a:stretch>
      </xdr:blipFill>
      <xdr:spPr>
        <a:xfrm>
          <a:off x="772755" y="31642139"/>
          <a:ext cx="4939252" cy="3915539"/>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1085850</xdr:colOff>
          <xdr:row>162</xdr:row>
          <xdr:rowOff>95250</xdr:rowOff>
        </xdr:from>
        <xdr:to>
          <xdr:col>5</xdr:col>
          <xdr:colOff>314325</xdr:colOff>
          <xdr:row>163</xdr:row>
          <xdr:rowOff>171450</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576514</xdr:colOff>
      <xdr:row>192</xdr:row>
      <xdr:rowOff>176541</xdr:rowOff>
    </xdr:from>
    <xdr:to>
      <xdr:col>4</xdr:col>
      <xdr:colOff>254968</xdr:colOff>
      <xdr:row>215</xdr:row>
      <xdr:rowOff>82157</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stretch>
          <a:fillRect/>
        </a:stretch>
      </xdr:blipFill>
      <xdr:spPr>
        <a:xfrm>
          <a:off x="576514" y="37185496"/>
          <a:ext cx="4544863" cy="439102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190500</xdr:colOff>
          <xdr:row>193</xdr:row>
          <xdr:rowOff>133350</xdr:rowOff>
        </xdr:from>
        <xdr:to>
          <xdr:col>4</xdr:col>
          <xdr:colOff>9525</xdr:colOff>
          <xdr:row>195</xdr:row>
          <xdr:rowOff>28575</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5</xdr:col>
      <xdr:colOff>575387</xdr:colOff>
      <xdr:row>163</xdr:row>
      <xdr:rowOff>21193</xdr:rowOff>
    </xdr:from>
    <xdr:to>
      <xdr:col>11</xdr:col>
      <xdr:colOff>269221</xdr:colOff>
      <xdr:row>190</xdr:row>
      <xdr:rowOff>0</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rotWithShape="1">
        <a:blip xmlns:r="http://schemas.openxmlformats.org/officeDocument/2006/relationships" r:embed="rId6"/>
        <a:srcRect b="4467"/>
        <a:stretch/>
      </xdr:blipFill>
      <xdr:spPr>
        <a:xfrm>
          <a:off x="5978660" y="31505648"/>
          <a:ext cx="5166379" cy="5122307"/>
        </a:xfrm>
        <a:prstGeom prst="rect">
          <a:avLst/>
        </a:prstGeom>
      </xdr:spPr>
    </xdr:pic>
    <xdr:clientData/>
  </xdr:twoCellAnchor>
  <xdr:twoCellAnchor editAs="oneCell">
    <xdr:from>
      <xdr:col>12</xdr:col>
      <xdr:colOff>76507</xdr:colOff>
      <xdr:row>191</xdr:row>
      <xdr:rowOff>140278</xdr:rowOff>
    </xdr:from>
    <xdr:to>
      <xdr:col>16</xdr:col>
      <xdr:colOff>1696299</xdr:colOff>
      <xdr:row>219</xdr:row>
      <xdr:rowOff>20545</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7"/>
        <a:stretch>
          <a:fillRect/>
        </a:stretch>
      </xdr:blipFill>
      <xdr:spPr>
        <a:xfrm>
          <a:off x="12199234" y="36958733"/>
          <a:ext cx="5066110" cy="5318176"/>
        </a:xfrm>
        <a:prstGeom prst="rect">
          <a:avLst/>
        </a:prstGeom>
      </xdr:spPr>
    </xdr:pic>
    <xdr:clientData/>
  </xdr:twoCellAnchor>
  <xdr:twoCellAnchor editAs="oneCell">
    <xdr:from>
      <xdr:col>11</xdr:col>
      <xdr:colOff>302355</xdr:colOff>
      <xdr:row>225</xdr:row>
      <xdr:rowOff>63160</xdr:rowOff>
    </xdr:from>
    <xdr:to>
      <xdr:col>16</xdr:col>
      <xdr:colOff>1402774</xdr:colOff>
      <xdr:row>243</xdr:row>
      <xdr:rowOff>53912</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8"/>
        <a:srcRect t="22223" r="22956"/>
        <a:stretch/>
      </xdr:blipFill>
      <xdr:spPr>
        <a:xfrm>
          <a:off x="11178173" y="43462524"/>
          <a:ext cx="5793646" cy="3419752"/>
        </a:xfrm>
        <a:prstGeom prst="rect">
          <a:avLst/>
        </a:prstGeom>
      </xdr:spPr>
    </xdr:pic>
    <xdr:clientData/>
  </xdr:twoCellAnchor>
  <xdr:twoCellAnchor editAs="oneCell">
    <xdr:from>
      <xdr:col>11</xdr:col>
      <xdr:colOff>315851</xdr:colOff>
      <xdr:row>164</xdr:row>
      <xdr:rowOff>125968</xdr:rowOff>
    </xdr:from>
    <xdr:to>
      <xdr:col>17</xdr:col>
      <xdr:colOff>193694</xdr:colOff>
      <xdr:row>188</xdr:row>
      <xdr:rowOff>1254</xdr:rowOff>
    </xdr:to>
    <xdr:pic>
      <xdr:nvPicPr>
        <xdr:cNvPr id="17" name="Imagen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9"/>
        <a:stretch>
          <a:fillRect/>
        </a:stretch>
      </xdr:blipFill>
      <xdr:spPr>
        <a:xfrm>
          <a:off x="11191669" y="31800923"/>
          <a:ext cx="6320207" cy="4447286"/>
        </a:xfrm>
        <a:prstGeom prst="rect">
          <a:avLst/>
        </a:prstGeom>
      </xdr:spPr>
    </xdr:pic>
    <xdr:clientData/>
  </xdr:twoCellAnchor>
  <xdr:twoCellAnchor editAs="oneCell">
    <xdr:from>
      <xdr:col>4</xdr:col>
      <xdr:colOff>484909</xdr:colOff>
      <xdr:row>193</xdr:row>
      <xdr:rowOff>121335</xdr:rowOff>
    </xdr:from>
    <xdr:to>
      <xdr:col>12</xdr:col>
      <xdr:colOff>131510</xdr:colOff>
      <xdr:row>214</xdr:row>
      <xdr:rowOff>153806</xdr:rowOff>
    </xdr:to>
    <xdr:pic>
      <xdr:nvPicPr>
        <xdr:cNvPr id="18" name="Imagen 17" descr="Acoustic Wall System">
          <a:extLst>
            <a:ext uri="{FF2B5EF4-FFF2-40B4-BE49-F238E27FC236}">
              <a16:creationId xmlns:a16="http://schemas.microsoft.com/office/drawing/2014/main" id="{00000000-0008-0000-0200-000012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8395" t="12028"/>
        <a:stretch/>
      </xdr:blipFill>
      <xdr:spPr bwMode="auto">
        <a:xfrm>
          <a:off x="5351318" y="37372744"/>
          <a:ext cx="6902919" cy="4084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737892</xdr:colOff>
      <xdr:row>222</xdr:row>
      <xdr:rowOff>135411</xdr:rowOff>
    </xdr:from>
    <xdr:to>
      <xdr:col>3</xdr:col>
      <xdr:colOff>1726929</xdr:colOff>
      <xdr:row>241</xdr:row>
      <xdr:rowOff>131963</xdr:rowOff>
    </xdr:to>
    <xdr:pic>
      <xdr:nvPicPr>
        <xdr:cNvPr id="20" name="Imagen 1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37892" y="42963275"/>
          <a:ext cx="3829219" cy="3616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3</xdr:col>
          <xdr:colOff>133350</xdr:colOff>
          <xdr:row>220</xdr:row>
          <xdr:rowOff>28575</xdr:rowOff>
        </xdr:from>
        <xdr:to>
          <xdr:col>3</xdr:col>
          <xdr:colOff>1638300</xdr:colOff>
          <xdr:row>221</xdr:row>
          <xdr:rowOff>171450</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200-00000B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180975</xdr:colOff>
          <xdr:row>220</xdr:row>
          <xdr:rowOff>19050</xdr:rowOff>
        </xdr:from>
        <xdr:to>
          <xdr:col>2</xdr:col>
          <xdr:colOff>1123950</xdr:colOff>
          <xdr:row>221</xdr:row>
          <xdr:rowOff>161925</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200-00000C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1009650</xdr:colOff>
          <xdr:row>144</xdr:row>
          <xdr:rowOff>0</xdr:rowOff>
        </xdr:from>
        <xdr:to>
          <xdr:col>6</xdr:col>
          <xdr:colOff>28575</xdr:colOff>
          <xdr:row>145</xdr:row>
          <xdr:rowOff>95250</xdr:rowOff>
        </xdr:to>
        <xdr:sp macro="" textlink="">
          <xdr:nvSpPr>
            <xdr:cNvPr id="1037" name="Object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5</xdr:col>
      <xdr:colOff>226282</xdr:colOff>
      <xdr:row>223</xdr:row>
      <xdr:rowOff>63228</xdr:rowOff>
    </xdr:from>
    <xdr:to>
      <xdr:col>10</xdr:col>
      <xdr:colOff>602957</xdr:colOff>
      <xdr:row>237</xdr:row>
      <xdr:rowOff>79793</xdr:rowOff>
    </xdr:to>
    <xdr:pic>
      <xdr:nvPicPr>
        <xdr:cNvPr id="22" name="Imagen 21" descr="Understanding your room 4-1: Traditional Room Construction | Understanding  your room | Russ Andrews Accessories Ltd">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629555" y="43081592"/>
          <a:ext cx="5104538" cy="2683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6</xdr:col>
          <xdr:colOff>323850</xdr:colOff>
          <xdr:row>220</xdr:row>
          <xdr:rowOff>152400</xdr:rowOff>
        </xdr:from>
        <xdr:to>
          <xdr:col>9</xdr:col>
          <xdr:colOff>514350</xdr:colOff>
          <xdr:row>222</xdr:row>
          <xdr:rowOff>104775</xdr:rowOff>
        </xdr:to>
        <xdr:sp macro="" textlink="">
          <xdr:nvSpPr>
            <xdr:cNvPr id="1041" name="Object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1019175</xdr:colOff>
          <xdr:row>220</xdr:row>
          <xdr:rowOff>171450</xdr:rowOff>
        </xdr:from>
        <xdr:to>
          <xdr:col>6</xdr:col>
          <xdr:colOff>228600</xdr:colOff>
          <xdr:row>222</xdr:row>
          <xdr:rowOff>104775</xdr:rowOff>
        </xdr:to>
        <xdr:sp macro="" textlink="">
          <xdr:nvSpPr>
            <xdr:cNvPr id="1042" name="Object 18" hidden="1">
              <a:extLst>
                <a:ext uri="{63B3BB69-23CF-44E3-9099-C40C66FF867C}">
                  <a14:compatExt spid="_x0000_s1042"/>
                </a:ext>
                <a:ext uri="{FF2B5EF4-FFF2-40B4-BE49-F238E27FC236}">
                  <a16:creationId xmlns:a16="http://schemas.microsoft.com/office/drawing/2014/main" id="{00000000-0008-0000-0200-000012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504825</xdr:colOff>
          <xdr:row>223</xdr:row>
          <xdr:rowOff>57150</xdr:rowOff>
        </xdr:from>
        <xdr:to>
          <xdr:col>16</xdr:col>
          <xdr:colOff>1352550</xdr:colOff>
          <xdr:row>225</xdr:row>
          <xdr:rowOff>95250</xdr:rowOff>
        </xdr:to>
        <xdr:sp macro="" textlink="">
          <xdr:nvSpPr>
            <xdr:cNvPr id="1043" name="Object 19" hidden="1">
              <a:extLst>
                <a:ext uri="{63B3BB69-23CF-44E3-9099-C40C66FF867C}">
                  <a14:compatExt spid="_x0000_s1043"/>
                </a:ext>
                <a:ext uri="{FF2B5EF4-FFF2-40B4-BE49-F238E27FC236}">
                  <a16:creationId xmlns:a16="http://schemas.microsoft.com/office/drawing/2014/main" id="{00000000-0008-0000-0200-000013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809625</xdr:colOff>
          <xdr:row>193</xdr:row>
          <xdr:rowOff>104775</xdr:rowOff>
        </xdr:from>
        <xdr:to>
          <xdr:col>10</xdr:col>
          <xdr:colOff>590550</xdr:colOff>
          <xdr:row>195</xdr:row>
          <xdr:rowOff>47625</xdr:rowOff>
        </xdr:to>
        <xdr:sp macro="" textlink="">
          <xdr:nvSpPr>
            <xdr:cNvPr id="1045" name="Object 2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752475</xdr:colOff>
          <xdr:row>191</xdr:row>
          <xdr:rowOff>38100</xdr:rowOff>
        </xdr:from>
        <xdr:to>
          <xdr:col>16</xdr:col>
          <xdr:colOff>1685925</xdr:colOff>
          <xdr:row>192</xdr:row>
          <xdr:rowOff>228600</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200-000017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162</xdr:row>
          <xdr:rowOff>114300</xdr:rowOff>
        </xdr:from>
        <xdr:to>
          <xdr:col>2</xdr:col>
          <xdr:colOff>923925</xdr:colOff>
          <xdr:row>164</xdr:row>
          <xdr:rowOff>66675</xdr:rowOff>
        </xdr:to>
        <xdr:sp macro="" textlink="">
          <xdr:nvSpPr>
            <xdr:cNvPr id="1048" name="Object 24"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161</xdr:row>
          <xdr:rowOff>190500</xdr:rowOff>
        </xdr:from>
        <xdr:to>
          <xdr:col>9</xdr:col>
          <xdr:colOff>638175</xdr:colOff>
          <xdr:row>163</xdr:row>
          <xdr:rowOff>76200</xdr:rowOff>
        </xdr:to>
        <xdr:sp macro="" textlink="">
          <xdr:nvSpPr>
            <xdr:cNvPr id="1049" name="Object 25" hidden="1">
              <a:extLst>
                <a:ext uri="{63B3BB69-23CF-44E3-9099-C40C66FF867C}">
                  <a14:compatExt spid="_x0000_s1049"/>
                </a:ext>
                <a:ext uri="{FF2B5EF4-FFF2-40B4-BE49-F238E27FC236}">
                  <a16:creationId xmlns:a16="http://schemas.microsoft.com/office/drawing/2014/main" id="{00000000-0008-0000-0200-000019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1400175</xdr:colOff>
          <xdr:row>161</xdr:row>
          <xdr:rowOff>180975</xdr:rowOff>
        </xdr:from>
        <xdr:to>
          <xdr:col>7</xdr:col>
          <xdr:colOff>95250</xdr:colOff>
          <xdr:row>163</xdr:row>
          <xdr:rowOff>123825</xdr:rowOff>
        </xdr:to>
        <xdr:sp macro="" textlink="">
          <xdr:nvSpPr>
            <xdr:cNvPr id="1050" name="Object 26"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771525</xdr:colOff>
          <xdr:row>164</xdr:row>
          <xdr:rowOff>142875</xdr:rowOff>
        </xdr:from>
        <xdr:to>
          <xdr:col>16</xdr:col>
          <xdr:colOff>1514475</xdr:colOff>
          <xdr:row>166</xdr:row>
          <xdr:rowOff>76200</xdr:rowOff>
        </xdr:to>
        <xdr:sp macro="" textlink="">
          <xdr:nvSpPr>
            <xdr:cNvPr id="1051" name="Object 27"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171450</xdr:colOff>
          <xdr:row>164</xdr:row>
          <xdr:rowOff>171450</xdr:rowOff>
        </xdr:from>
        <xdr:to>
          <xdr:col>14</xdr:col>
          <xdr:colOff>838200</xdr:colOff>
          <xdr:row>166</xdr:row>
          <xdr:rowOff>152400</xdr:rowOff>
        </xdr:to>
        <xdr:sp macro="" textlink="">
          <xdr:nvSpPr>
            <xdr:cNvPr id="1052" name="Object 28"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114300</xdr:colOff>
          <xdr:row>142</xdr:row>
          <xdr:rowOff>85725</xdr:rowOff>
        </xdr:from>
        <xdr:to>
          <xdr:col>14</xdr:col>
          <xdr:colOff>904875</xdr:colOff>
          <xdr:row>144</xdr:row>
          <xdr:rowOff>0</xdr:rowOff>
        </xdr:to>
        <xdr:sp macro="" textlink="">
          <xdr:nvSpPr>
            <xdr:cNvPr id="1053" name="Object 29"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704850</xdr:colOff>
          <xdr:row>223</xdr:row>
          <xdr:rowOff>104775</xdr:rowOff>
        </xdr:from>
        <xdr:to>
          <xdr:col>14</xdr:col>
          <xdr:colOff>657225</xdr:colOff>
          <xdr:row>225</xdr:row>
          <xdr:rowOff>57150</xdr:rowOff>
        </xdr:to>
        <xdr:sp macro="" textlink="">
          <xdr:nvSpPr>
            <xdr:cNvPr id="1054" name="Object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xdr:col>
      <xdr:colOff>535690</xdr:colOff>
      <xdr:row>70</xdr:row>
      <xdr:rowOff>47625</xdr:rowOff>
    </xdr:from>
    <xdr:to>
      <xdr:col>17</xdr:col>
      <xdr:colOff>561975</xdr:colOff>
      <xdr:row>73</xdr:row>
      <xdr:rowOff>75396</xdr:rowOff>
    </xdr:to>
    <xdr:cxnSp macro="">
      <xdr:nvCxnSpPr>
        <xdr:cNvPr id="2" name="Conector recto de flecha 1">
          <a:extLst>
            <a:ext uri="{FF2B5EF4-FFF2-40B4-BE49-F238E27FC236}">
              <a16:creationId xmlns:a16="http://schemas.microsoft.com/office/drawing/2014/main" id="{00000000-0008-0000-0200-000002000000}"/>
            </a:ext>
          </a:extLst>
        </xdr:cNvPr>
        <xdr:cNvCxnSpPr/>
      </xdr:nvCxnSpPr>
      <xdr:spPr>
        <a:xfrm flipH="1">
          <a:off x="7450840" y="12163425"/>
          <a:ext cx="9179810" cy="599271"/>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630940</xdr:colOff>
      <xdr:row>70</xdr:row>
      <xdr:rowOff>85725</xdr:rowOff>
    </xdr:from>
    <xdr:to>
      <xdr:col>17</xdr:col>
      <xdr:colOff>590550</xdr:colOff>
      <xdr:row>81</xdr:row>
      <xdr:rowOff>37296</xdr:rowOff>
    </xdr:to>
    <xdr:cxnSp macro="">
      <xdr:nvCxnSpPr>
        <xdr:cNvPr id="12" name="Conector recto de flecha 11">
          <a:extLst>
            <a:ext uri="{FF2B5EF4-FFF2-40B4-BE49-F238E27FC236}">
              <a16:creationId xmlns:a16="http://schemas.microsoft.com/office/drawing/2014/main" id="{00000000-0008-0000-0200-00000C000000}"/>
            </a:ext>
          </a:extLst>
        </xdr:cNvPr>
        <xdr:cNvCxnSpPr/>
      </xdr:nvCxnSpPr>
      <xdr:spPr>
        <a:xfrm flipH="1">
          <a:off x="7546090" y="12201525"/>
          <a:ext cx="9113135" cy="20470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211840</xdr:colOff>
      <xdr:row>70</xdr:row>
      <xdr:rowOff>28575</xdr:rowOff>
    </xdr:from>
    <xdr:to>
      <xdr:col>18</xdr:col>
      <xdr:colOff>123825</xdr:colOff>
      <xdr:row>84</xdr:row>
      <xdr:rowOff>18246</xdr:rowOff>
    </xdr:to>
    <xdr:cxnSp macro="">
      <xdr:nvCxnSpPr>
        <xdr:cNvPr id="19" name="Conector recto de flecha 18">
          <a:extLst>
            <a:ext uri="{FF2B5EF4-FFF2-40B4-BE49-F238E27FC236}">
              <a16:creationId xmlns:a16="http://schemas.microsoft.com/office/drawing/2014/main" id="{00000000-0008-0000-0200-000013000000}"/>
            </a:ext>
          </a:extLst>
        </xdr:cNvPr>
        <xdr:cNvCxnSpPr/>
      </xdr:nvCxnSpPr>
      <xdr:spPr>
        <a:xfrm flipH="1">
          <a:off x="7803265" y="12144375"/>
          <a:ext cx="9075035" cy="2485221"/>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49915</xdr:colOff>
      <xdr:row>70</xdr:row>
      <xdr:rowOff>123825</xdr:rowOff>
    </xdr:from>
    <xdr:to>
      <xdr:col>17</xdr:col>
      <xdr:colOff>628650</xdr:colOff>
      <xdr:row>87</xdr:row>
      <xdr:rowOff>161121</xdr:rowOff>
    </xdr:to>
    <xdr:cxnSp macro="">
      <xdr:nvCxnSpPr>
        <xdr:cNvPr id="23" name="Conector recto de flecha 22">
          <a:extLst>
            <a:ext uri="{FF2B5EF4-FFF2-40B4-BE49-F238E27FC236}">
              <a16:creationId xmlns:a16="http://schemas.microsoft.com/office/drawing/2014/main" id="{00000000-0008-0000-0200-000017000000}"/>
            </a:ext>
          </a:extLst>
        </xdr:cNvPr>
        <xdr:cNvCxnSpPr/>
      </xdr:nvCxnSpPr>
      <xdr:spPr>
        <a:xfrm flipH="1">
          <a:off x="7641340" y="12239625"/>
          <a:ext cx="9055985" cy="3113871"/>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638175</xdr:colOff>
      <xdr:row>122</xdr:row>
      <xdr:rowOff>76200</xdr:rowOff>
    </xdr:from>
    <xdr:to>
      <xdr:col>17</xdr:col>
      <xdr:colOff>504825</xdr:colOff>
      <xdr:row>125</xdr:row>
      <xdr:rowOff>114300</xdr:rowOff>
    </xdr:to>
    <xdr:cxnSp macro="">
      <xdr:nvCxnSpPr>
        <xdr:cNvPr id="25" name="Conector recto de flecha 24">
          <a:extLst>
            <a:ext uri="{FF2B5EF4-FFF2-40B4-BE49-F238E27FC236}">
              <a16:creationId xmlns:a16="http://schemas.microsoft.com/office/drawing/2014/main" id="{00000000-0008-0000-0200-000019000000}"/>
            </a:ext>
          </a:extLst>
        </xdr:cNvPr>
        <xdr:cNvCxnSpPr/>
      </xdr:nvCxnSpPr>
      <xdr:spPr>
        <a:xfrm flipH="1" flipV="1">
          <a:off x="7553325" y="21812250"/>
          <a:ext cx="9020175" cy="619125"/>
        </a:xfrm>
        <a:prstGeom prst="straightConnector1">
          <a:avLst/>
        </a:prstGeom>
        <a:ln>
          <a:solidFill>
            <a:srgbClr val="C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586154</xdr:colOff>
      <xdr:row>118</xdr:row>
      <xdr:rowOff>58615</xdr:rowOff>
    </xdr:from>
    <xdr:to>
      <xdr:col>17</xdr:col>
      <xdr:colOff>519479</xdr:colOff>
      <xdr:row>121</xdr:row>
      <xdr:rowOff>77665</xdr:rowOff>
    </xdr:to>
    <xdr:cxnSp macro="">
      <xdr:nvCxnSpPr>
        <xdr:cNvPr id="29" name="Conector recto de flecha 28">
          <a:extLst>
            <a:ext uri="{FF2B5EF4-FFF2-40B4-BE49-F238E27FC236}">
              <a16:creationId xmlns:a16="http://schemas.microsoft.com/office/drawing/2014/main" id="{00000000-0008-0000-0200-00001D000000}"/>
            </a:ext>
          </a:extLst>
        </xdr:cNvPr>
        <xdr:cNvCxnSpPr/>
      </xdr:nvCxnSpPr>
      <xdr:spPr>
        <a:xfrm flipH="1">
          <a:off x="7568712" y="23270307"/>
          <a:ext cx="9458325" cy="605204"/>
        </a:xfrm>
        <a:prstGeom prst="straightConnector1">
          <a:avLst/>
        </a:prstGeom>
        <a:ln>
          <a:solidFill>
            <a:srgbClr val="C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888019</xdr:colOff>
      <xdr:row>130</xdr:row>
      <xdr:rowOff>175846</xdr:rowOff>
    </xdr:from>
    <xdr:to>
      <xdr:col>7</xdr:col>
      <xdr:colOff>51288</xdr:colOff>
      <xdr:row>139</xdr:row>
      <xdr:rowOff>29306</xdr:rowOff>
    </xdr:to>
    <xdr:sp macro="" textlink="">
      <xdr:nvSpPr>
        <xdr:cNvPr id="4" name="Rectángulo 3">
          <a:extLst>
            <a:ext uri="{FF2B5EF4-FFF2-40B4-BE49-F238E27FC236}">
              <a16:creationId xmlns:a16="http://schemas.microsoft.com/office/drawing/2014/main" id="{00000000-0008-0000-0200-000004000000}"/>
            </a:ext>
          </a:extLst>
        </xdr:cNvPr>
        <xdr:cNvSpPr/>
      </xdr:nvSpPr>
      <xdr:spPr>
        <a:xfrm>
          <a:off x="888019" y="25717500"/>
          <a:ext cx="6819904" cy="1582614"/>
        </a:xfrm>
        <a:prstGeom prst="rect">
          <a:avLst/>
        </a:prstGeom>
        <a:noFill/>
        <a:ln w="2222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269193</xdr:colOff>
      <xdr:row>1</xdr:row>
      <xdr:rowOff>8733</xdr:rowOff>
    </xdr:from>
    <xdr:to>
      <xdr:col>3</xdr:col>
      <xdr:colOff>67235</xdr:colOff>
      <xdr:row>3</xdr:row>
      <xdr:rowOff>123933</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13" cstate="print">
          <a:alphaModFix/>
          <a:extLst>
            <a:ext uri="{28A0092B-C50C-407E-A947-70E740481C1C}">
              <a14:useLocalDpi xmlns:a14="http://schemas.microsoft.com/office/drawing/2010/main" val="0"/>
            </a:ext>
          </a:extLst>
        </a:blip>
        <a:srcRect l="4120" t="4573" r="5986"/>
        <a:stretch/>
      </xdr:blipFill>
      <xdr:spPr>
        <a:xfrm>
          <a:off x="1031193" y="199233"/>
          <a:ext cx="1871130" cy="541024"/>
        </a:xfrm>
        <a:prstGeom prst="rect">
          <a:avLst/>
        </a:prstGeom>
      </xdr:spPr>
    </xdr:pic>
    <xdr:clientData/>
  </xdr:twoCellAnchor>
  <xdr:twoCellAnchor editAs="oneCell">
    <xdr:from>
      <xdr:col>14</xdr:col>
      <xdr:colOff>255706</xdr:colOff>
      <xdr:row>0</xdr:row>
      <xdr:rowOff>144276</xdr:rowOff>
    </xdr:from>
    <xdr:to>
      <xdr:col>16</xdr:col>
      <xdr:colOff>590426</xdr:colOff>
      <xdr:row>3</xdr:row>
      <xdr:rowOff>112057</xdr:rowOff>
    </xdr:to>
    <xdr:pic>
      <xdr:nvPicPr>
        <xdr:cNvPr id="16" name="Imagen 15" descr="Texto&#10;&#10;Descripción generada automáticamente">
          <a:extLst>
            <a:ext uri="{FF2B5EF4-FFF2-40B4-BE49-F238E27FC236}">
              <a16:creationId xmlns:a16="http://schemas.microsoft.com/office/drawing/2014/main" id="{00000000-0008-0000-0200-000010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0780"/>
        <a:stretch/>
      </xdr:blipFill>
      <xdr:spPr bwMode="auto">
        <a:xfrm>
          <a:off x="14207030" y="144276"/>
          <a:ext cx="1925955" cy="5841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16</xdr:col>
      <xdr:colOff>561141</xdr:colOff>
      <xdr:row>0</xdr:row>
      <xdr:rowOff>36998</xdr:rowOff>
    </xdr:from>
    <xdr:to>
      <xdr:col>16</xdr:col>
      <xdr:colOff>1434353</xdr:colOff>
      <xdr:row>3</xdr:row>
      <xdr:rowOff>40805</xdr:rowOff>
    </xdr:to>
    <xdr:pic>
      <xdr:nvPicPr>
        <xdr:cNvPr id="21" name="Imagen 20" descr="Texto&#10;&#10;Descripción generada automáticamente">
          <a:extLst>
            <a:ext uri="{FF2B5EF4-FFF2-40B4-BE49-F238E27FC236}">
              <a16:creationId xmlns:a16="http://schemas.microsoft.com/office/drawing/2014/main" id="{00000000-0008-0000-0200-000015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6159" r="68671"/>
        <a:stretch/>
      </xdr:blipFill>
      <xdr:spPr bwMode="auto">
        <a:xfrm>
          <a:off x="16103700" y="36998"/>
          <a:ext cx="873212" cy="620131"/>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213164</xdr:colOff>
      <xdr:row>1</xdr:row>
      <xdr:rowOff>42351</xdr:rowOff>
    </xdr:from>
    <xdr:to>
      <xdr:col>3</xdr:col>
      <xdr:colOff>136851</xdr:colOff>
      <xdr:row>4</xdr:row>
      <xdr:rowOff>127000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alphaModFix/>
          <a:extLst>
            <a:ext uri="{28A0092B-C50C-407E-A947-70E740481C1C}">
              <a14:useLocalDpi xmlns:a14="http://schemas.microsoft.com/office/drawing/2010/main" val="0"/>
            </a:ext>
          </a:extLst>
        </a:blip>
        <a:srcRect l="4120" t="4573" r="5986"/>
        <a:stretch/>
      </xdr:blipFill>
      <xdr:spPr>
        <a:xfrm>
          <a:off x="800539" y="248726"/>
          <a:ext cx="2289062" cy="672024"/>
        </a:xfrm>
        <a:prstGeom prst="rect">
          <a:avLst/>
        </a:prstGeom>
      </xdr:spPr>
    </xdr:pic>
    <xdr:clientData/>
  </xdr:twoCellAnchor>
  <xdr:twoCellAnchor editAs="oneCell">
    <xdr:from>
      <xdr:col>6</xdr:col>
      <xdr:colOff>3690310</xdr:colOff>
      <xdr:row>1</xdr:row>
      <xdr:rowOff>139607</xdr:rowOff>
    </xdr:from>
    <xdr:to>
      <xdr:col>8</xdr:col>
      <xdr:colOff>152948</xdr:colOff>
      <xdr:row>5</xdr:row>
      <xdr:rowOff>31749</xdr:rowOff>
    </xdr:to>
    <xdr:pic>
      <xdr:nvPicPr>
        <xdr:cNvPr id="3" name="Imagen 2" descr="Texto&#10;&#10;Descripción generada automáticamente">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0780"/>
        <a:stretch/>
      </xdr:blipFill>
      <xdr:spPr bwMode="auto">
        <a:xfrm>
          <a:off x="11500810" y="345982"/>
          <a:ext cx="2177638" cy="67001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153059</xdr:colOff>
      <xdr:row>1</xdr:row>
      <xdr:rowOff>53808</xdr:rowOff>
    </xdr:from>
    <xdr:to>
      <xdr:col>9</xdr:col>
      <xdr:colOff>507941</xdr:colOff>
      <xdr:row>5</xdr:row>
      <xdr:rowOff>15875</xdr:rowOff>
    </xdr:to>
    <xdr:pic>
      <xdr:nvPicPr>
        <xdr:cNvPr id="4" name="Imagen 3" descr="Texto&#10;&#10;Descripción generada automáticamente">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6159" r="68671"/>
        <a:stretch/>
      </xdr:blipFill>
      <xdr:spPr bwMode="auto">
        <a:xfrm>
          <a:off x="13678559" y="260183"/>
          <a:ext cx="1005757" cy="739942"/>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67</xdr:col>
      <xdr:colOff>402130</xdr:colOff>
      <xdr:row>87</xdr:row>
      <xdr:rowOff>173852</xdr:rowOff>
    </xdr:from>
    <xdr:to>
      <xdr:col>75</xdr:col>
      <xdr:colOff>206187</xdr:colOff>
      <xdr:row>104</xdr:row>
      <xdr:rowOff>161365</xdr:rowOff>
    </xdr:to>
    <xdr:graphicFrame macro="">
      <xdr:nvGraphicFramePr>
        <xdr:cNvPr id="15" name="Gráfico 1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75</xdr:col>
      <xdr:colOff>779929</xdr:colOff>
      <xdr:row>88</xdr:row>
      <xdr:rowOff>4481</xdr:rowOff>
    </xdr:from>
    <xdr:to>
      <xdr:col>81</xdr:col>
      <xdr:colOff>690282</xdr:colOff>
      <xdr:row>104</xdr:row>
      <xdr:rowOff>116540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67</xdr:col>
      <xdr:colOff>783770</xdr:colOff>
      <xdr:row>154</xdr:row>
      <xdr:rowOff>146957</xdr:rowOff>
    </xdr:from>
    <xdr:to>
      <xdr:col>74</xdr:col>
      <xdr:colOff>892628</xdr:colOff>
      <xdr:row>173</xdr:row>
      <xdr:rowOff>32657</xdr:rowOff>
    </xdr:to>
    <xdr:graphicFrame macro="">
      <xdr:nvGraphicFramePr>
        <xdr:cNvPr id="25" name="Gráfico 24">
          <a:extLst>
            <a:ext uri="{FF2B5EF4-FFF2-40B4-BE49-F238E27FC236}">
              <a16:creationId xmlns:a16="http://schemas.microsoft.com/office/drawing/2014/main" id="{00000000-0008-0000-04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75</xdr:col>
      <xdr:colOff>0</xdr:colOff>
      <xdr:row>155</xdr:row>
      <xdr:rowOff>5442</xdr:rowOff>
    </xdr:from>
    <xdr:to>
      <xdr:col>81</xdr:col>
      <xdr:colOff>206828</xdr:colOff>
      <xdr:row>173</xdr:row>
      <xdr:rowOff>43543</xdr:rowOff>
    </xdr:to>
    <xdr:graphicFrame macro="">
      <xdr:nvGraphicFramePr>
        <xdr:cNvPr id="26" name="Gráfico 25">
          <a:extLst>
            <a:ext uri="{FF2B5EF4-FFF2-40B4-BE49-F238E27FC236}">
              <a16:creationId xmlns:a16="http://schemas.microsoft.com/office/drawing/2014/main" id="{00000000-0008-0000-04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81</xdr:col>
      <xdr:colOff>402771</xdr:colOff>
      <xdr:row>155</xdr:row>
      <xdr:rowOff>5443</xdr:rowOff>
    </xdr:from>
    <xdr:to>
      <xdr:col>85</xdr:col>
      <xdr:colOff>1153886</xdr:colOff>
      <xdr:row>173</xdr:row>
      <xdr:rowOff>76201</xdr:rowOff>
    </xdr:to>
    <xdr:graphicFrame macro="">
      <xdr:nvGraphicFramePr>
        <xdr:cNvPr id="27" name="Gráfico 26">
          <a:extLst>
            <a:ext uri="{FF2B5EF4-FFF2-40B4-BE49-F238E27FC236}">
              <a16:creationId xmlns:a16="http://schemas.microsoft.com/office/drawing/2014/main" id="{00000000-0008-0000-04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22664</xdr:colOff>
      <xdr:row>0</xdr:row>
      <xdr:rowOff>143204</xdr:rowOff>
    </xdr:from>
    <xdr:to>
      <xdr:col>3</xdr:col>
      <xdr:colOff>690005</xdr:colOff>
      <xdr:row>3</xdr:row>
      <xdr:rowOff>29539</xdr:rowOff>
    </xdr:to>
    <xdr:pic>
      <xdr:nvPicPr>
        <xdr:cNvPr id="30" name="Imagen 29">
          <a:extLst>
            <a:ext uri="{FF2B5EF4-FFF2-40B4-BE49-F238E27FC236}">
              <a16:creationId xmlns:a16="http://schemas.microsoft.com/office/drawing/2014/main" id="{00000000-0008-0000-0400-00001E000000}"/>
            </a:ext>
          </a:extLst>
        </xdr:cNvPr>
        <xdr:cNvPicPr>
          <a:picLocks noChangeAspect="1"/>
        </xdr:cNvPicPr>
      </xdr:nvPicPr>
      <xdr:blipFill rotWithShape="1">
        <a:blip xmlns:r="http://schemas.openxmlformats.org/officeDocument/2006/relationships" r:embed="rId6" cstate="print">
          <a:alphaModFix/>
          <a:extLst>
            <a:ext uri="{28A0092B-C50C-407E-A947-70E740481C1C}">
              <a14:useLocalDpi xmlns:a14="http://schemas.microsoft.com/office/drawing/2010/main" val="0"/>
            </a:ext>
          </a:extLst>
        </a:blip>
        <a:srcRect l="4120" t="4573" r="5986"/>
        <a:stretch/>
      </xdr:blipFill>
      <xdr:spPr>
        <a:xfrm>
          <a:off x="784664" y="143204"/>
          <a:ext cx="1581741" cy="457835"/>
        </a:xfrm>
        <a:prstGeom prst="rect">
          <a:avLst/>
        </a:prstGeom>
      </xdr:spPr>
    </xdr:pic>
    <xdr:clientData/>
  </xdr:twoCellAnchor>
  <xdr:twoCellAnchor editAs="oneCell">
    <xdr:from>
      <xdr:col>8</xdr:col>
      <xdr:colOff>558266</xdr:colOff>
      <xdr:row>0</xdr:row>
      <xdr:rowOff>133071</xdr:rowOff>
    </xdr:from>
    <xdr:to>
      <xdr:col>11</xdr:col>
      <xdr:colOff>66178</xdr:colOff>
      <xdr:row>3</xdr:row>
      <xdr:rowOff>11151</xdr:rowOff>
    </xdr:to>
    <xdr:pic>
      <xdr:nvPicPr>
        <xdr:cNvPr id="31" name="Imagen 30" descr="Texto&#10;&#10;Descripción generada automáticamente">
          <a:extLst>
            <a:ext uri="{FF2B5EF4-FFF2-40B4-BE49-F238E27FC236}">
              <a16:creationId xmlns:a16="http://schemas.microsoft.com/office/drawing/2014/main" id="{00000000-0008-0000-0400-00001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0780"/>
        <a:stretch/>
      </xdr:blipFill>
      <xdr:spPr bwMode="auto">
        <a:xfrm>
          <a:off x="9108354" y="133071"/>
          <a:ext cx="1480148" cy="4495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34465</xdr:colOff>
      <xdr:row>0</xdr:row>
      <xdr:rowOff>70617</xdr:rowOff>
    </xdr:from>
    <xdr:to>
      <xdr:col>11</xdr:col>
      <xdr:colOff>696135</xdr:colOff>
      <xdr:row>2</xdr:row>
      <xdr:rowOff>159517</xdr:rowOff>
    </xdr:to>
    <xdr:pic>
      <xdr:nvPicPr>
        <xdr:cNvPr id="32" name="Imagen 31" descr="Texto&#10;&#10;Descripción generada automáticamente">
          <a:extLst>
            <a:ext uri="{FF2B5EF4-FFF2-40B4-BE49-F238E27FC236}">
              <a16:creationId xmlns:a16="http://schemas.microsoft.com/office/drawing/2014/main" id="{00000000-0008-0000-0400-00002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6159" r="68671"/>
        <a:stretch/>
      </xdr:blipFill>
      <xdr:spPr bwMode="auto">
        <a:xfrm>
          <a:off x="7883065" y="70617"/>
          <a:ext cx="661670" cy="46990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505394</xdr:colOff>
      <xdr:row>18</xdr:row>
      <xdr:rowOff>46808</xdr:rowOff>
    </xdr:from>
    <xdr:to>
      <xdr:col>11</xdr:col>
      <xdr:colOff>43295</xdr:colOff>
      <xdr:row>40</xdr:row>
      <xdr:rowOff>16459</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429442</xdr:colOff>
      <xdr:row>18</xdr:row>
      <xdr:rowOff>21772</xdr:rowOff>
    </xdr:from>
    <xdr:to>
      <xdr:col>22</xdr:col>
      <xdr:colOff>57967</xdr:colOff>
      <xdr:row>41</xdr:row>
      <xdr:rowOff>27217</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260891</xdr:colOff>
      <xdr:row>17</xdr:row>
      <xdr:rowOff>173359</xdr:rowOff>
    </xdr:from>
    <xdr:to>
      <xdr:col>26</xdr:col>
      <xdr:colOff>2653394</xdr:colOff>
      <xdr:row>41</xdr:row>
      <xdr:rowOff>2348</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495300</xdr:colOff>
      <xdr:row>42</xdr:row>
      <xdr:rowOff>19596</xdr:rowOff>
    </xdr:from>
    <xdr:to>
      <xdr:col>11</xdr:col>
      <xdr:colOff>18506</xdr:colOff>
      <xdr:row>65</xdr:row>
      <xdr:rowOff>117024</xdr:rowOff>
    </xdr:to>
    <xdr:graphicFrame macro="">
      <xdr:nvGraphicFramePr>
        <xdr:cNvPr id="6" name="Gráfico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366849</xdr:colOff>
      <xdr:row>42</xdr:row>
      <xdr:rowOff>53149</xdr:rowOff>
    </xdr:from>
    <xdr:to>
      <xdr:col>21</xdr:col>
      <xdr:colOff>745127</xdr:colOff>
      <xdr:row>65</xdr:row>
      <xdr:rowOff>157845</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575583</xdr:colOff>
      <xdr:row>68</xdr:row>
      <xdr:rowOff>119742</xdr:rowOff>
    </xdr:from>
    <xdr:to>
      <xdr:col>10</xdr:col>
      <xdr:colOff>349704</xdr:colOff>
      <xdr:row>92</xdr:row>
      <xdr:rowOff>-1</xdr:rowOff>
    </xdr:to>
    <xdr:graphicFrame macro="">
      <xdr:nvGraphicFramePr>
        <xdr:cNvPr id="8" name="Gráfico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529316</xdr:colOff>
      <xdr:row>68</xdr:row>
      <xdr:rowOff>114301</xdr:rowOff>
    </xdr:from>
    <xdr:to>
      <xdr:col>20</xdr:col>
      <xdr:colOff>536864</xdr:colOff>
      <xdr:row>91</xdr:row>
      <xdr:rowOff>34637</xdr:rowOff>
    </xdr:to>
    <xdr:graphicFrame macro="">
      <xdr:nvGraphicFramePr>
        <xdr:cNvPr id="9" name="Gráfico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571500</xdr:colOff>
      <xdr:row>92</xdr:row>
      <xdr:rowOff>144235</xdr:rowOff>
    </xdr:from>
    <xdr:to>
      <xdr:col>10</xdr:col>
      <xdr:colOff>336096</xdr:colOff>
      <xdr:row>115</xdr:row>
      <xdr:rowOff>84365</xdr:rowOff>
    </xdr:to>
    <xdr:graphicFrame macro="">
      <xdr:nvGraphicFramePr>
        <xdr:cNvPr id="10" name="Gráfico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503587</xdr:colOff>
      <xdr:row>68</xdr:row>
      <xdr:rowOff>141267</xdr:rowOff>
    </xdr:from>
    <xdr:to>
      <xdr:col>26</xdr:col>
      <xdr:colOff>2190750</xdr:colOff>
      <xdr:row>91</xdr:row>
      <xdr:rowOff>81397</xdr:rowOff>
    </xdr:to>
    <xdr:graphicFrame macro="">
      <xdr:nvGraphicFramePr>
        <xdr:cNvPr id="11" name="Gráfico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71995</xdr:colOff>
      <xdr:row>92</xdr:row>
      <xdr:rowOff>181841</xdr:rowOff>
    </xdr:from>
    <xdr:to>
      <xdr:col>20</xdr:col>
      <xdr:colOff>565933</xdr:colOff>
      <xdr:row>115</xdr:row>
      <xdr:rowOff>121971</xdr:rowOff>
    </xdr:to>
    <xdr:graphicFrame macro="">
      <xdr:nvGraphicFramePr>
        <xdr:cNvPr id="12" name="Gráfico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495422</xdr:colOff>
      <xdr:row>93</xdr:row>
      <xdr:rowOff>20533</xdr:rowOff>
    </xdr:from>
    <xdr:to>
      <xdr:col>26</xdr:col>
      <xdr:colOff>2286000</xdr:colOff>
      <xdr:row>115</xdr:row>
      <xdr:rowOff>161553</xdr:rowOff>
    </xdr:to>
    <xdr:graphicFrame macro="">
      <xdr:nvGraphicFramePr>
        <xdr:cNvPr id="13" name="Gráfico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639043</xdr:colOff>
      <xdr:row>118</xdr:row>
      <xdr:rowOff>177318</xdr:rowOff>
    </xdr:from>
    <xdr:to>
      <xdr:col>26</xdr:col>
      <xdr:colOff>2618165</xdr:colOff>
      <xdr:row>142</xdr:row>
      <xdr:rowOff>102128</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251636</xdr:colOff>
      <xdr:row>119</xdr:row>
      <xdr:rowOff>97897</xdr:rowOff>
    </xdr:from>
    <xdr:to>
      <xdr:col>16</xdr:col>
      <xdr:colOff>18187</xdr:colOff>
      <xdr:row>142</xdr:row>
      <xdr:rowOff>6799</xdr:rowOff>
    </xdr:to>
    <xdr:graphicFrame macro="">
      <xdr:nvGraphicFramePr>
        <xdr:cNvPr id="15" name="Gráfico 14">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92255</xdr:colOff>
      <xdr:row>144</xdr:row>
      <xdr:rowOff>126971</xdr:rowOff>
    </xdr:from>
    <xdr:to>
      <xdr:col>16</xdr:col>
      <xdr:colOff>6324</xdr:colOff>
      <xdr:row>166</xdr:row>
      <xdr:rowOff>134936</xdr:rowOff>
    </xdr:to>
    <xdr:graphicFrame macro="">
      <xdr:nvGraphicFramePr>
        <xdr:cNvPr id="16" name="Gráfico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558884</xdr:colOff>
      <xdr:row>144</xdr:row>
      <xdr:rowOff>81151</xdr:rowOff>
    </xdr:from>
    <xdr:to>
      <xdr:col>26</xdr:col>
      <xdr:colOff>2743200</xdr:colOff>
      <xdr:row>167</xdr:row>
      <xdr:rowOff>114300</xdr:rowOff>
    </xdr:to>
    <xdr:graphicFrame macro="">
      <xdr:nvGraphicFramePr>
        <xdr:cNvPr id="17" name="Gráfico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89982</xdr:colOff>
      <xdr:row>169</xdr:row>
      <xdr:rowOff>16132</xdr:rowOff>
    </xdr:from>
    <xdr:to>
      <xdr:col>16</xdr:col>
      <xdr:colOff>63945</xdr:colOff>
      <xdr:row>192</xdr:row>
      <xdr:rowOff>72619</xdr:rowOff>
    </xdr:to>
    <xdr:graphicFrame macro="">
      <xdr:nvGraphicFramePr>
        <xdr:cNvPr id="18" name="Gráfico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710044</xdr:colOff>
      <xdr:row>168</xdr:row>
      <xdr:rowOff>70264</xdr:rowOff>
    </xdr:from>
    <xdr:to>
      <xdr:col>26</xdr:col>
      <xdr:colOff>2848249</xdr:colOff>
      <xdr:row>192</xdr:row>
      <xdr:rowOff>155863</xdr:rowOff>
    </xdr:to>
    <xdr:graphicFrame macro="">
      <xdr:nvGraphicFramePr>
        <xdr:cNvPr id="19" name="Gráfico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43096</xdr:colOff>
      <xdr:row>194</xdr:row>
      <xdr:rowOff>188423</xdr:rowOff>
    </xdr:from>
    <xdr:to>
      <xdr:col>16</xdr:col>
      <xdr:colOff>6799</xdr:colOff>
      <xdr:row>217</xdr:row>
      <xdr:rowOff>52167</xdr:rowOff>
    </xdr:to>
    <xdr:graphicFrame macro="">
      <xdr:nvGraphicFramePr>
        <xdr:cNvPr id="20" name="Gráfico 19">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581645</xdr:colOff>
      <xdr:row>195</xdr:row>
      <xdr:rowOff>7920</xdr:rowOff>
    </xdr:from>
    <xdr:to>
      <xdr:col>26</xdr:col>
      <xdr:colOff>2919224</xdr:colOff>
      <xdr:row>218</xdr:row>
      <xdr:rowOff>147646</xdr:rowOff>
    </xdr:to>
    <xdr:graphicFrame macro="">
      <xdr:nvGraphicFramePr>
        <xdr:cNvPr id="21" name="Gráfico 20">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624668</xdr:colOff>
      <xdr:row>219</xdr:row>
      <xdr:rowOff>146613</xdr:rowOff>
    </xdr:from>
    <xdr:to>
      <xdr:col>22</xdr:col>
      <xdr:colOff>650773</xdr:colOff>
      <xdr:row>246</xdr:row>
      <xdr:rowOff>34636</xdr:rowOff>
    </xdr:to>
    <xdr:graphicFrame macro="">
      <xdr:nvGraphicFramePr>
        <xdr:cNvPr id="22" name="Gráfico 21">
          <a:extLst>
            <a:ext uri="{FF2B5EF4-FFF2-40B4-BE49-F238E27FC236}">
              <a16:creationId xmlns:a16="http://schemas.microsoft.com/office/drawing/2014/main" i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xdr:col>
      <xdr:colOff>576846</xdr:colOff>
      <xdr:row>2</xdr:row>
      <xdr:rowOff>21976</xdr:rowOff>
    </xdr:from>
    <xdr:to>
      <xdr:col>5</xdr:col>
      <xdr:colOff>324824</xdr:colOff>
      <xdr:row>5</xdr:row>
      <xdr:rowOff>259772</xdr:rowOff>
    </xdr:to>
    <xdr:pic>
      <xdr:nvPicPr>
        <xdr:cNvPr id="29" name="Imagen 28">
          <a:extLst>
            <a:ext uri="{FF2B5EF4-FFF2-40B4-BE49-F238E27FC236}">
              <a16:creationId xmlns:a16="http://schemas.microsoft.com/office/drawing/2014/main" id="{00000000-0008-0000-0500-00001D000000}"/>
            </a:ext>
          </a:extLst>
        </xdr:cNvPr>
        <xdr:cNvPicPr>
          <a:picLocks noChangeAspect="1"/>
        </xdr:cNvPicPr>
      </xdr:nvPicPr>
      <xdr:blipFill rotWithShape="1">
        <a:blip xmlns:r="http://schemas.openxmlformats.org/officeDocument/2006/relationships" r:embed="rId21" cstate="print">
          <a:alphaModFix/>
          <a:extLst>
            <a:ext uri="{28A0092B-C50C-407E-A947-70E740481C1C}">
              <a14:useLocalDpi xmlns:a14="http://schemas.microsoft.com/office/drawing/2010/main" val="0"/>
            </a:ext>
          </a:extLst>
        </a:blip>
        <a:srcRect l="4120" t="4573" r="5986"/>
        <a:stretch/>
      </xdr:blipFill>
      <xdr:spPr>
        <a:xfrm>
          <a:off x="1338846" y="402976"/>
          <a:ext cx="2795978" cy="809296"/>
        </a:xfrm>
        <a:prstGeom prst="rect">
          <a:avLst/>
        </a:prstGeom>
      </xdr:spPr>
    </xdr:pic>
    <xdr:clientData/>
  </xdr:twoCellAnchor>
  <xdr:twoCellAnchor editAs="oneCell">
    <xdr:from>
      <xdr:col>25</xdr:col>
      <xdr:colOff>51955</xdr:colOff>
      <xdr:row>3</xdr:row>
      <xdr:rowOff>115752</xdr:rowOff>
    </xdr:from>
    <xdr:to>
      <xdr:col>26</xdr:col>
      <xdr:colOff>1787896</xdr:colOff>
      <xdr:row>6</xdr:row>
      <xdr:rowOff>200117</xdr:rowOff>
    </xdr:to>
    <xdr:pic>
      <xdr:nvPicPr>
        <xdr:cNvPr id="30" name="Imagen 29" descr="Texto&#10;&#10;Descripción generada automáticamente">
          <a:extLst>
            <a:ext uri="{FF2B5EF4-FFF2-40B4-BE49-F238E27FC236}">
              <a16:creationId xmlns:a16="http://schemas.microsoft.com/office/drawing/2014/main" id="{00000000-0008-0000-0500-00001E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30780"/>
        <a:stretch/>
      </xdr:blipFill>
      <xdr:spPr bwMode="auto">
        <a:xfrm>
          <a:off x="21803591" y="687252"/>
          <a:ext cx="2497941" cy="75977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26</xdr:col>
      <xdr:colOff>1632356</xdr:colOff>
      <xdr:row>2</xdr:row>
      <xdr:rowOff>115150</xdr:rowOff>
    </xdr:from>
    <xdr:to>
      <xdr:col>26</xdr:col>
      <xdr:colOff>2894308</xdr:colOff>
      <xdr:row>6</xdr:row>
      <xdr:rowOff>155864</xdr:rowOff>
    </xdr:to>
    <xdr:pic>
      <xdr:nvPicPr>
        <xdr:cNvPr id="31" name="Imagen 30" descr="Texto&#10;&#10;Descripción generada automáticamente">
          <a:extLst>
            <a:ext uri="{FF2B5EF4-FFF2-40B4-BE49-F238E27FC236}">
              <a16:creationId xmlns:a16="http://schemas.microsoft.com/office/drawing/2014/main" id="{00000000-0008-0000-0500-00001F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6159" r="68671"/>
        <a:stretch/>
      </xdr:blipFill>
      <xdr:spPr bwMode="auto">
        <a:xfrm>
          <a:off x="24145992" y="496150"/>
          <a:ext cx="1261952" cy="906623"/>
        </a:xfrm>
        <a:prstGeom prst="rect">
          <a:avLst/>
        </a:prstGeom>
        <a:ln>
          <a:noFill/>
        </a:ln>
        <a:extLst>
          <a:ext uri="{53640926-AAD7-44D8-BBD7-CCE9431645EC}">
            <a14:shadowObscured xmlns:a14="http://schemas.microsoft.com/office/drawing/2010/main"/>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José Manuel Olmos Noguera" id="{F0AB71BF-5B5E-4BC1-8341-22594BA1FC3A}" userId="1c1b542c46d79616"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9" dT="2023-10-18T09:54:27.25" personId="{F0AB71BF-5B5E-4BC1-8341-22594BA1FC3A}" id="{8AF532B2-5F85-405A-B935-B277ED643A83}">
    <text>The user will choose the materil of the "material impctr data" tab, entrering here its Mat code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eco-platform.org/epd-data.html" TargetMode="External"/><Relationship Id="rId1" Type="http://schemas.openxmlformats.org/officeDocument/2006/relationships/hyperlink" Target="https://co2data.fi/rakentaminen/"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3" Type="http://schemas.openxmlformats.org/officeDocument/2006/relationships/image" Target="../media/image40.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image" Target="../media/image53.emf"/><Relationship Id="rId21" Type="http://schemas.openxmlformats.org/officeDocument/2006/relationships/image" Target="../media/image44.emf"/><Relationship Id="rId34" Type="http://schemas.openxmlformats.org/officeDocument/2006/relationships/oleObject" Target="../embeddings/oleObject16.bin"/><Relationship Id="rId42" Type="http://schemas.openxmlformats.org/officeDocument/2006/relationships/image" Target="../media/image54.emf"/><Relationship Id="rId7" Type="http://schemas.openxmlformats.org/officeDocument/2006/relationships/image" Target="../media/image37.wmf"/><Relationship Id="rId2" Type="http://schemas.openxmlformats.org/officeDocument/2006/relationships/drawing" Target="../drawings/drawing3.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48.emf"/><Relationship Id="rId41" Type="http://schemas.openxmlformats.org/officeDocument/2006/relationships/oleObject" Target="../embeddings/oleObject20.bin"/><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39.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image" Target="../media/image52.emf"/><Relationship Id="rId40" Type="http://schemas.openxmlformats.org/officeDocument/2006/relationships/oleObject" Target="../embeddings/oleObject19.bin"/><Relationship Id="rId5" Type="http://schemas.openxmlformats.org/officeDocument/2006/relationships/image" Target="../media/image36.emf"/><Relationship Id="rId15" Type="http://schemas.openxmlformats.org/officeDocument/2006/relationships/image" Target="../media/image41.emf"/><Relationship Id="rId23" Type="http://schemas.openxmlformats.org/officeDocument/2006/relationships/image" Target="../media/image45.emf"/><Relationship Id="rId28" Type="http://schemas.openxmlformats.org/officeDocument/2006/relationships/oleObject" Target="../embeddings/oleObject13.bin"/><Relationship Id="rId36" Type="http://schemas.openxmlformats.org/officeDocument/2006/relationships/oleObject" Target="../embeddings/oleObject17.bin"/><Relationship Id="rId10" Type="http://schemas.openxmlformats.org/officeDocument/2006/relationships/oleObject" Target="../embeddings/oleObject4.bin"/><Relationship Id="rId19" Type="http://schemas.openxmlformats.org/officeDocument/2006/relationships/image" Target="../media/image43.emf"/><Relationship Id="rId31" Type="http://schemas.openxmlformats.org/officeDocument/2006/relationships/image" Target="../media/image49.emf"/><Relationship Id="rId44" Type="http://schemas.microsoft.com/office/2017/10/relationships/threadedComment" Target="../threadedComments/threadedComment1.xml"/><Relationship Id="rId4" Type="http://schemas.openxmlformats.org/officeDocument/2006/relationships/oleObject" Target="../embeddings/oleObject1.bin"/><Relationship Id="rId9" Type="http://schemas.openxmlformats.org/officeDocument/2006/relationships/image" Target="../media/image38.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47.emf"/><Relationship Id="rId30" Type="http://schemas.openxmlformats.org/officeDocument/2006/relationships/oleObject" Target="../embeddings/oleObject14.bin"/><Relationship Id="rId35" Type="http://schemas.openxmlformats.org/officeDocument/2006/relationships/image" Target="../media/image51.emf"/><Relationship Id="rId43" Type="http://schemas.openxmlformats.org/officeDocument/2006/relationships/comments" Target="../comments2.xml"/><Relationship Id="rId8" Type="http://schemas.openxmlformats.org/officeDocument/2006/relationships/oleObject" Target="../embeddings/oleObject3.bin"/><Relationship Id="rId3" Type="http://schemas.openxmlformats.org/officeDocument/2006/relationships/vmlDrawing" Target="../drawings/vmlDrawing2.vml"/><Relationship Id="rId12" Type="http://schemas.openxmlformats.org/officeDocument/2006/relationships/oleObject" Target="../embeddings/oleObject5.bin"/><Relationship Id="rId17" Type="http://schemas.openxmlformats.org/officeDocument/2006/relationships/image" Target="../media/image42.emf"/><Relationship Id="rId25" Type="http://schemas.openxmlformats.org/officeDocument/2006/relationships/image" Target="../media/image46.emf"/><Relationship Id="rId33" Type="http://schemas.openxmlformats.org/officeDocument/2006/relationships/image" Target="../media/image50.emf"/><Relationship Id="rId38" Type="http://schemas.openxmlformats.org/officeDocument/2006/relationships/oleObject" Target="../embeddings/oleObject18.bin"/></Relationships>
</file>

<file path=xl/worksheets/_rels/sheet4.xml.rels><?xml version="1.0" encoding="UTF-8" standalone="yes"?>
<Relationships xmlns="http://schemas.openxmlformats.org/package/2006/relationships"><Relationship Id="rId26" Type="http://schemas.openxmlformats.org/officeDocument/2006/relationships/hyperlink" Target="https://ecosmdp.eco-platform.org/datasetdetail/process.xhtml?uuid=ee3ace89-f97e-408b-975f-7e869e5a80d9&amp;version=00.01.002&amp;lang=en" TargetMode="External"/><Relationship Id="rId21" Type="http://schemas.openxmlformats.org/officeDocument/2006/relationships/hyperlink" Target="https://www.eco-platform.org/epd-data.html" TargetMode="External"/><Relationship Id="rId42" Type="http://schemas.openxmlformats.org/officeDocument/2006/relationships/hyperlink" Target="https://www.eco-platform.org/epd-data.html" TargetMode="External"/><Relationship Id="rId47" Type="http://schemas.openxmlformats.org/officeDocument/2006/relationships/hyperlink" Target="https://epdireland.lca-data.com/datasetdetail/process.xhtml?uuid=02fcdde0-c1b7-4f81-8beb-02f9b468c43f&amp;version=00.03.001&amp;lang=en" TargetMode="External"/><Relationship Id="rId63" Type="http://schemas.openxmlformats.org/officeDocument/2006/relationships/hyperlink" Target="https://data.environdec.com/datasetdetail/process.xhtml?uuid=c5f8165f-5e0e-4411-7146-08da598ce856&amp;version=07.00.015&amp;lang=en" TargetMode="External"/><Relationship Id="rId68" Type="http://schemas.openxmlformats.org/officeDocument/2006/relationships/hyperlink" Target="https://www.eco-platform.org/epd-data.html" TargetMode="External"/><Relationship Id="rId84" Type="http://schemas.openxmlformats.org/officeDocument/2006/relationships/hyperlink" Target="https://www.eco-platform.org/epd-data.html" TargetMode="External"/><Relationship Id="rId89" Type="http://schemas.openxmlformats.org/officeDocument/2006/relationships/vmlDrawing" Target="../drawings/vmlDrawing3.vml"/><Relationship Id="rId16" Type="http://schemas.openxmlformats.org/officeDocument/2006/relationships/hyperlink" Target="https://www.eco-platform.org/epd-data.html" TargetMode="External"/><Relationship Id="rId11" Type="http://schemas.openxmlformats.org/officeDocument/2006/relationships/hyperlink" Target="https://ibudata.lca-data.com/datasetdetail/process.xhtml?uuid=83f83f8f-f21c-4682-bf81-8dc04d61e4e8&amp;version=00.01.000&amp;stock=PUBLIC&amp;lang=en" TargetMode="External"/><Relationship Id="rId32" Type="http://schemas.openxmlformats.org/officeDocument/2006/relationships/hyperlink" Target="https://www.eco-platform.org/epd-data.html" TargetMode="External"/><Relationship Id="rId37" Type="http://schemas.openxmlformats.org/officeDocument/2006/relationships/hyperlink" Target="https://data.environdec.com/datasetdetail/process.xhtml?uuid=870b8916-0b8e-4428-882b-2b142888dfc2&amp;version=01.00.001&amp;lang=en" TargetMode="External"/><Relationship Id="rId53" Type="http://schemas.openxmlformats.org/officeDocument/2006/relationships/hyperlink" Target="https://data.environdec.com/datasetdetail/process.xhtml?uuid=e3da16ef-8f06-46cf-a2b5-08dbc3ea2324&amp;version=07.01.002&amp;lang=en" TargetMode="External"/><Relationship Id="rId58" Type="http://schemas.openxmlformats.org/officeDocument/2006/relationships/hyperlink" Target="https://www.eco-platform.org/epd-data.html" TargetMode="External"/><Relationship Id="rId74" Type="http://schemas.openxmlformats.org/officeDocument/2006/relationships/hyperlink" Target="https://www.eco-platform.org/epd-data.html" TargetMode="External"/><Relationship Id="rId79" Type="http://schemas.openxmlformats.org/officeDocument/2006/relationships/hyperlink" Target="https://ecosmdp.eco-platform.org/datasetdetail/process.xhtml?uuid=87041e11-de52-421c-86fc-6996c01d18bc&amp;version=00.01.001&amp;lang=en" TargetMode="External"/><Relationship Id="rId5" Type="http://schemas.openxmlformats.org/officeDocument/2006/relationships/hyperlink" Target="https://itb.lca-data.com/datasetdetail/process.xhtml?uuid=d3641a86-d4b0-4c9b-8e3a-dced05b6c2a5&amp;version=00.03.002&amp;lang=en" TargetMode="External"/><Relationship Id="rId90" Type="http://schemas.openxmlformats.org/officeDocument/2006/relationships/comments" Target="../comments3.xml"/><Relationship Id="rId14" Type="http://schemas.openxmlformats.org/officeDocument/2006/relationships/hyperlink" Target="https://www.eco-platform.org/epd-data.html" TargetMode="External"/><Relationship Id="rId22" Type="http://schemas.openxmlformats.org/officeDocument/2006/relationships/hyperlink" Target="https://www.eco-platform.org/epd-data.html" TargetMode="External"/><Relationship Id="rId27" Type="http://schemas.openxmlformats.org/officeDocument/2006/relationships/hyperlink" Target="https://data.environdec.com/datasetdetail/process.xhtml?uuid=c07e1a51-7e69-4402-8cad-bb50e8d2f2b7&amp;version=01.00.001&amp;lang=en" TargetMode="External"/><Relationship Id="rId30" Type="http://schemas.openxmlformats.org/officeDocument/2006/relationships/hyperlink" Target="https://www.eco-platform.org/epd-data.html" TargetMode="External"/><Relationship Id="rId35" Type="http://schemas.openxmlformats.org/officeDocument/2006/relationships/hyperlink" Target="https://ibudata.lca-data.com/datasetdetail/process.xhtml?uuid=19eab6fe-2082-43e3-96b3-964a90576965&amp;version=00.02.000&amp;stock=PUBLIC&amp;lang=en" TargetMode="External"/><Relationship Id="rId43" Type="http://schemas.openxmlformats.org/officeDocument/2006/relationships/hyperlink" Target="https://ibudata.lca-data.com/datasetdetail/process.xhtml?uuid=e61fb095-9e7d-40e2-a9a6-0449225f9df6&amp;version=00.01.000&amp;stock=PUBLIC&amp;lang=en" TargetMode="External"/><Relationship Id="rId48" Type="http://schemas.openxmlformats.org/officeDocument/2006/relationships/hyperlink" Target="https://www.eco-platform.org/epd-data.html" TargetMode="External"/><Relationship Id="rId56" Type="http://schemas.openxmlformats.org/officeDocument/2006/relationships/hyperlink" Target="https://epdireland.lca-data.com/datasetdetail/process.xhtml?uuid=51e28fc4-2e9f-46b9-b930-f01da6dc0355&amp;version=00.03.002&amp;lang=en" TargetMode="External"/><Relationship Id="rId64" Type="http://schemas.openxmlformats.org/officeDocument/2006/relationships/hyperlink" Target="https://data.environdec.com/datasetdetail/process.xhtml?uuid=c1d307e7-d914-4224-814f-08dad14736bf&amp;version=07.00.015&amp;lang=en" TargetMode="External"/><Relationship Id="rId69" Type="http://schemas.openxmlformats.org/officeDocument/2006/relationships/hyperlink" Target="https://www.eco-platform.org/epd-data.html" TargetMode="External"/><Relationship Id="rId77" Type="http://schemas.openxmlformats.org/officeDocument/2006/relationships/hyperlink" Target="https://itb.lca-data.com/datasetdetail/process.xhtml?uuid=ae9dc9d5-d35b-4779-af67-d7d2dd6a86ef&amp;version=00.04.001&amp;lang=en" TargetMode="External"/><Relationship Id="rId8" Type="http://schemas.openxmlformats.org/officeDocument/2006/relationships/hyperlink" Target="https://www.epddanmark.dk/media/10vdfzkx/md-23056-en.pdf" TargetMode="External"/><Relationship Id="rId51" Type="http://schemas.openxmlformats.org/officeDocument/2006/relationships/hyperlink" Target="https://ibudata.lca-data.com/datasetdetail/process.xhtml?uuid=8ed3a0e3-2676-4070-9f08-3843f7dcee03&amp;version=00.01.000&amp;stock=PUBLIC&amp;lang=en" TargetMode="External"/><Relationship Id="rId72" Type="http://schemas.openxmlformats.org/officeDocument/2006/relationships/hyperlink" Target="https://www.eco-platform.org/epd-data.html" TargetMode="External"/><Relationship Id="rId80" Type="http://schemas.openxmlformats.org/officeDocument/2006/relationships/hyperlink" Target="https://www.eco-platform.org/epd-data.html" TargetMode="External"/><Relationship Id="rId85" Type="http://schemas.openxmlformats.org/officeDocument/2006/relationships/hyperlink" Target="https://ibudata.lca-data.com/datasetdetail/process.xhtml?uuid=c258155d-6075-45b0-b691-cddf67cfdcce&amp;version=00.01.000&amp;stock=PUBLIC&amp;lang=en" TargetMode="External"/><Relationship Id="rId3" Type="http://schemas.openxmlformats.org/officeDocument/2006/relationships/hyperlink" Target="https://ecosmdp.eco-platform.org/datasetdetail/process.xhtml?uuid=3cafabcd-a41f-4e84-ad33-a2b41ac18cf8&amp;version=00.01.003&amp;lang=en" TargetMode="External"/><Relationship Id="rId12" Type="http://schemas.openxmlformats.org/officeDocument/2006/relationships/hyperlink" Target="https://data.environdec.com/datasetdetail/process.xhtml?uuid=9c50324d-371e-4800-b94c-418a5689d060&amp;version=01.00.001&amp;lang=en" TargetMode="External"/><Relationship Id="rId17" Type="http://schemas.openxmlformats.org/officeDocument/2006/relationships/hyperlink" Target="https://www.eco-platform.org/epd-data.html" TargetMode="External"/><Relationship Id="rId25" Type="http://schemas.openxmlformats.org/officeDocument/2006/relationships/hyperlink" Target="https://www.eco-platform.org/epd-data.html" TargetMode="External"/><Relationship Id="rId33" Type="http://schemas.openxmlformats.org/officeDocument/2006/relationships/hyperlink" Target="https://www.eco-platform.org/epd-data.html" TargetMode="External"/><Relationship Id="rId38" Type="http://schemas.openxmlformats.org/officeDocument/2006/relationships/hyperlink" Target="https://www.eco-platform.org/epd-data.html" TargetMode="External"/><Relationship Id="rId46" Type="http://schemas.openxmlformats.org/officeDocument/2006/relationships/hyperlink" Target="https://www.eco-platform.org/epd-data.html" TargetMode="External"/><Relationship Id="rId59" Type="http://schemas.openxmlformats.org/officeDocument/2006/relationships/hyperlink" Target="https://epdnorway.lca-data.com/datasetdetail/process.xhtml?uuid=16b66437-48f3-43bd-bc64-4a074f55c585&amp;version=00.04.001&amp;stock=PUBLIC&amp;lang=en" TargetMode="External"/><Relationship Id="rId67" Type="http://schemas.openxmlformats.org/officeDocument/2006/relationships/hyperlink" Target="https://epdireland.lca-data.com/datasetdetail/process.xhtml?uuid=6c5e2764-9704-4e9e-a8b9-0f2d7090c5bb&amp;version=00.03.001&amp;lang=en" TargetMode="External"/><Relationship Id="rId20" Type="http://schemas.openxmlformats.org/officeDocument/2006/relationships/hyperlink" Target="https://www.eco-platform.org/epd-data.html" TargetMode="External"/><Relationship Id="rId41" Type="http://schemas.openxmlformats.org/officeDocument/2006/relationships/hyperlink" Target="https://data.environdec.com/datasetdetail/process.xhtml?uuid=5843d601-511f-4d49-ee6e-08dabcce83b0&amp;version=07.00.015&amp;lang=en" TargetMode="External"/><Relationship Id="rId54" Type="http://schemas.openxmlformats.org/officeDocument/2006/relationships/hyperlink" Target="https://ibudata.lca-data.com/datasetdetail/process.xhtml?uuid=f7cced34-3863-4f25-97b6-a6e2a6b97de5&amp;version=00.05.000&amp;stock=PUBLIC&amp;lang=en" TargetMode="External"/><Relationship Id="rId62" Type="http://schemas.openxmlformats.org/officeDocument/2006/relationships/hyperlink" Target="https://ecosmdp.eco-platform.org/datasetdetail/process.xhtml?uuid=840936cd-d813-46de-91e8-dea3603df2e5&amp;version=00.00.017&amp;lang=en" TargetMode="External"/><Relationship Id="rId70" Type="http://schemas.openxmlformats.org/officeDocument/2006/relationships/hyperlink" Target="https://www.eco-platform.org/epd-data.html" TargetMode="External"/><Relationship Id="rId75" Type="http://schemas.openxmlformats.org/officeDocument/2006/relationships/hyperlink" Target="https://www.eco-platform.org/epd-data.html" TargetMode="External"/><Relationship Id="rId83" Type="http://schemas.openxmlformats.org/officeDocument/2006/relationships/hyperlink" Target="https://ecosmdp.eco-platform.org/datasetdetail/process.xhtml?uuid=ac5aa5bc-d6cd-4f99-8a7e-d22661b36768&amp;version=00.01.007&amp;lang=en" TargetMode="External"/><Relationship Id="rId88" Type="http://schemas.openxmlformats.org/officeDocument/2006/relationships/drawing" Target="../drawings/drawing4.xml"/><Relationship Id="rId1" Type="http://schemas.openxmlformats.org/officeDocument/2006/relationships/hyperlink" Target="https://ecosmdp.eco-platform.org/datasetdetail/process.xhtml?uuid=f11bed16-16bd-457c-84b5-ca7e4e4d74fe&amp;version=00.01.003&amp;lang=en" TargetMode="External"/><Relationship Id="rId6" Type="http://schemas.openxmlformats.org/officeDocument/2006/relationships/hyperlink" Target="https://ibudata.lca-data.com/datasetdetail/process.xhtml?uuid=4dce4c25-2a18-454e-9e6a-fdd13c95f48c&amp;version=00.01.000&amp;stock=PUBLIC&amp;lang=en" TargetMode="External"/><Relationship Id="rId15" Type="http://schemas.openxmlformats.org/officeDocument/2006/relationships/hyperlink" Target="https://www.eco-platform.org/epd-data.html" TargetMode="External"/><Relationship Id="rId23" Type="http://schemas.openxmlformats.org/officeDocument/2006/relationships/hyperlink" Target="https://www.eco-platform.org/epd-data.html" TargetMode="External"/><Relationship Id="rId28" Type="http://schemas.openxmlformats.org/officeDocument/2006/relationships/hyperlink" Target="https://www.eco-platform.org/epd-data.html" TargetMode="External"/><Relationship Id="rId36" Type="http://schemas.openxmlformats.org/officeDocument/2006/relationships/hyperlink" Target="https://www.eco-platform.org/epd-data.html" TargetMode="External"/><Relationship Id="rId49" Type="http://schemas.openxmlformats.org/officeDocument/2006/relationships/hyperlink" Target="https://data.environdec.com/datasetdetail/process.xhtml?uuid=3fc6f33a-52fe-422a-a072-1524a2c1dbf6&amp;version=07.00.015&amp;lang=en" TargetMode="External"/><Relationship Id="rId57" Type="http://schemas.openxmlformats.org/officeDocument/2006/relationships/hyperlink" Target="https://www.eco-platform.org/epd-data.html" TargetMode="External"/><Relationship Id="rId10" Type="http://schemas.openxmlformats.org/officeDocument/2006/relationships/hyperlink" Target="https://itb.lca-data.com/datasetdetail/process.xhtml?uuid=3af15ed3-4d46-48bc-897d-9744c41ad622&amp;version=00.03.000&amp;lang=en" TargetMode="External"/><Relationship Id="rId31" Type="http://schemas.openxmlformats.org/officeDocument/2006/relationships/hyperlink" Target="https://ecosmdp.eco-platform.org/datasetdetail/process.xhtml?uuid=10875a7e-806c-4d90-8fe0-868e47e91b36&amp;version=00.00.013&amp;lang=en" TargetMode="External"/><Relationship Id="rId44" Type="http://schemas.openxmlformats.org/officeDocument/2006/relationships/hyperlink" Target="https://www.eco-platform.org/epd-data.html" TargetMode="External"/><Relationship Id="rId52" Type="http://schemas.openxmlformats.org/officeDocument/2006/relationships/hyperlink" Target="https://www.eco-platform.org/epd-data.html" TargetMode="External"/><Relationship Id="rId60" Type="http://schemas.openxmlformats.org/officeDocument/2006/relationships/hyperlink" Target="https://ibudata.lca-data.com/datasetdetail/process.xhtml?uuid=fb5594ce-cbe4-430a-9707-cdcd09f3ab95&amp;version=00.02.000&amp;stock=PUBLIC&amp;lang=en" TargetMode="External"/><Relationship Id="rId65" Type="http://schemas.openxmlformats.org/officeDocument/2006/relationships/hyperlink" Target="https://itb.lca-data.com/datasetdetail/process.xhtml?uuid=d7d40c5c-92ab-4967-aa4c-943c611a6d0c&amp;version=00.03.000&amp;lang=en" TargetMode="External"/><Relationship Id="rId73" Type="http://schemas.openxmlformats.org/officeDocument/2006/relationships/hyperlink" Target="https://www.eco-platform.org/epd-data.html" TargetMode="External"/><Relationship Id="rId78" Type="http://schemas.openxmlformats.org/officeDocument/2006/relationships/hyperlink" Target="https://www.eco-platform.org/epd-data.html" TargetMode="External"/><Relationship Id="rId81" Type="http://schemas.openxmlformats.org/officeDocument/2006/relationships/hyperlink" Target="https://www.eco-platform.org/epd-data.html" TargetMode="External"/><Relationship Id="rId86" Type="http://schemas.openxmlformats.org/officeDocument/2006/relationships/hyperlink" Target="https://www.eco-platform.org/epd-data.html" TargetMode="External"/><Relationship Id="rId4" Type="http://schemas.openxmlformats.org/officeDocument/2006/relationships/hyperlink" Target="https://node.epditaly.it/datasetdetail/process.xhtml?uuid=9f811933-566f-44d1-ada5-0b20a9f86a70&amp;version=00.00.031&amp;lang=en" TargetMode="External"/><Relationship Id="rId9" Type="http://schemas.openxmlformats.org/officeDocument/2006/relationships/hyperlink" Target="https://ecosmdp.eco-platform.org/datasetdetail/process.xhtml?uuid=af2d6d43-ef49-4fa5-8e50-256acd74658a&amp;version=00.01.003&amp;lang=en" TargetMode="External"/><Relationship Id="rId13" Type="http://schemas.openxmlformats.org/officeDocument/2006/relationships/hyperlink" Target="https://www.eco-platform.org/epd-data.html" TargetMode="External"/><Relationship Id="rId18" Type="http://schemas.openxmlformats.org/officeDocument/2006/relationships/hyperlink" Target="https://www.eco-platform.org/epd-data.html" TargetMode="External"/><Relationship Id="rId39" Type="http://schemas.openxmlformats.org/officeDocument/2006/relationships/hyperlink" Target="https://ibudata.lca-data.com/datasetdetail/process.xhtml?uuid=e9f65a5d-5e7b-4d57-ac5d-09a059663036&amp;version=00.02.000&amp;stock=PUBLIC&amp;lang=en" TargetMode="External"/><Relationship Id="rId34" Type="http://schemas.openxmlformats.org/officeDocument/2006/relationships/hyperlink" Target="https://www.eco-platform.org/epd-data.html" TargetMode="External"/><Relationship Id="rId50" Type="http://schemas.openxmlformats.org/officeDocument/2006/relationships/hyperlink" Target="https://www.eco-platform.org/epd-data.html" TargetMode="External"/><Relationship Id="rId55" Type="http://schemas.openxmlformats.org/officeDocument/2006/relationships/hyperlink" Target="https://www.eco-platform.org/epd-data.html" TargetMode="External"/><Relationship Id="rId76" Type="http://schemas.openxmlformats.org/officeDocument/2006/relationships/hyperlink" Target="https://data.environdec.com/datasetdetail/process.xhtml?uuid=27d29e96-6544-44d6-90e4-755384184bf6&amp;version=05.00.002&amp;lang=en" TargetMode="External"/><Relationship Id="rId7" Type="http://schemas.openxmlformats.org/officeDocument/2006/relationships/hyperlink" Target="https://ibudata.lca-data.com/datasetdetail/process.xhtml?uuid=6b75bee7-b123-423e-acff-1cf446864415&amp;version=00.01.000&amp;stock=PUBLIC&amp;lang=en" TargetMode="External"/><Relationship Id="rId71" Type="http://schemas.openxmlformats.org/officeDocument/2006/relationships/hyperlink" Target="https://www.eco-platform.org/epd-data.html" TargetMode="External"/><Relationship Id="rId2" Type="http://schemas.openxmlformats.org/officeDocument/2006/relationships/hyperlink" Target="https://ecosmdp.eco-platform.org/datasetdetail/process.xhtml?uuid=3cafabcd-a41f-4e84-ad33-a2b41ac18cf8&amp;version=00.01.003&amp;lang=en" TargetMode="External"/><Relationship Id="rId29" Type="http://schemas.openxmlformats.org/officeDocument/2006/relationships/hyperlink" Target="https://data.environdec.com/datasetdetail/process.xhtml?uuid=c6b54c7b-7ae1-463c-0898-08da42bffe9b&amp;version=07.00.015&amp;lang=en" TargetMode="External"/><Relationship Id="rId24" Type="http://schemas.openxmlformats.org/officeDocument/2006/relationships/hyperlink" Target="https://www.eco-platform.org/epd-data.html" TargetMode="External"/><Relationship Id="rId40" Type="http://schemas.openxmlformats.org/officeDocument/2006/relationships/hyperlink" Target="https://www.eco-platform.org/epd-data.html" TargetMode="External"/><Relationship Id="rId45" Type="http://schemas.openxmlformats.org/officeDocument/2006/relationships/hyperlink" Target="https://ecosmdp.eco-platform.org/datasetdetail/process.xhtml?uuid=73e8de0d-0f83-4788-b59d-a422b5d7f3af&amp;version=01.00.033&amp;lang=en" TargetMode="External"/><Relationship Id="rId66" Type="http://schemas.openxmlformats.org/officeDocument/2006/relationships/hyperlink" Target="https://epdireland.lca-data.com/datasetdetail/process.xhtml?uuid=265b9524-973d-4e57-98e7-df81d8db1a92&amp;version=00.03.001&amp;lang=en" TargetMode="External"/><Relationship Id="rId87" Type="http://schemas.openxmlformats.org/officeDocument/2006/relationships/printerSettings" Target="../printerSettings/printerSettings3.bin"/><Relationship Id="rId61" Type="http://schemas.openxmlformats.org/officeDocument/2006/relationships/hyperlink" Target="https://data.mrpi.nl/datasetdetail/process.xhtml?uuid=b81312ac-130c-40a4-a62c-c4cf6a738209&amp;version=10.00.001&amp;stock=PUBLIC&amp;lang=en" TargetMode="External"/><Relationship Id="rId82" Type="http://schemas.openxmlformats.org/officeDocument/2006/relationships/hyperlink" Target="https://data.environdec.com/datasetdetail/process.xhtml?uuid=e47c7670-3f3e-4ac1-6242-08d9b3c0fc8b&amp;version=01.00.001&amp;lang=en" TargetMode="External"/><Relationship Id="rId19" Type="http://schemas.openxmlformats.org/officeDocument/2006/relationships/hyperlink" Target="https://www.eco-platform.org/epd-data.html"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W43"/>
  <sheetViews>
    <sheetView topLeftCell="A12" zoomScaleNormal="100" workbookViewId="0">
      <selection activeCell="B36" sqref="B36"/>
    </sheetView>
  </sheetViews>
  <sheetFormatPr baseColWidth="10" defaultColWidth="11.42578125" defaultRowHeight="15" x14ac:dyDescent="0.25"/>
  <cols>
    <col min="2" max="2" width="14.85546875" customWidth="1"/>
  </cols>
  <sheetData>
    <row r="5" spans="2:11" ht="15.75" x14ac:dyDescent="0.25">
      <c r="F5" s="236" t="s">
        <v>774</v>
      </c>
    </row>
    <row r="6" spans="2:11" ht="15.75" customHeight="1" x14ac:dyDescent="0.25">
      <c r="B6" s="294" t="s">
        <v>775</v>
      </c>
      <c r="C6" s="294"/>
      <c r="D6" s="294"/>
      <c r="E6" s="294"/>
      <c r="F6" s="294"/>
      <c r="G6" s="294"/>
      <c r="H6" s="294"/>
      <c r="I6" s="294"/>
      <c r="J6" s="294"/>
      <c r="K6" s="294"/>
    </row>
    <row r="7" spans="2:11" x14ac:dyDescent="0.25">
      <c r="B7" s="294"/>
      <c r="C7" s="294"/>
      <c r="D7" s="294"/>
      <c r="E7" s="294"/>
      <c r="F7" s="294"/>
      <c r="G7" s="294"/>
      <c r="H7" s="294"/>
      <c r="I7" s="294"/>
      <c r="J7" s="294"/>
      <c r="K7" s="294"/>
    </row>
    <row r="8" spans="2:11" x14ac:dyDescent="0.25">
      <c r="B8" s="294"/>
      <c r="C8" s="294"/>
      <c r="D8" s="294"/>
      <c r="E8" s="294"/>
      <c r="F8" s="294"/>
      <c r="G8" s="294"/>
      <c r="H8" s="294"/>
      <c r="I8" s="294"/>
      <c r="J8" s="294"/>
      <c r="K8" s="294"/>
    </row>
    <row r="9" spans="2:11" x14ac:dyDescent="0.25">
      <c r="B9" s="248"/>
      <c r="C9" s="248"/>
      <c r="D9" s="248"/>
      <c r="E9" s="248"/>
      <c r="F9" s="248"/>
      <c r="G9" s="248"/>
      <c r="H9" s="248"/>
      <c r="I9" s="248"/>
      <c r="J9" s="248"/>
      <c r="K9" s="248"/>
    </row>
    <row r="10" spans="2:11" ht="18.75" x14ac:dyDescent="0.25">
      <c r="F10" s="247" t="s">
        <v>776</v>
      </c>
    </row>
    <row r="11" spans="2:11" x14ac:dyDescent="0.25">
      <c r="F11" s="246"/>
    </row>
    <row r="12" spans="2:11" ht="26.25" x14ac:dyDescent="0.4">
      <c r="B12" s="3" t="s">
        <v>680</v>
      </c>
    </row>
    <row r="15" spans="2:11" x14ac:dyDescent="0.25">
      <c r="B15" s="2" t="s">
        <v>0</v>
      </c>
    </row>
    <row r="16" spans="2:11" x14ac:dyDescent="0.25">
      <c r="B16" t="s">
        <v>681</v>
      </c>
    </row>
    <row r="20" spans="2:23" x14ac:dyDescent="0.25">
      <c r="B20" s="2" t="s">
        <v>1</v>
      </c>
    </row>
    <row r="21" spans="2:23" x14ac:dyDescent="0.25">
      <c r="B21" s="1" t="s">
        <v>765</v>
      </c>
    </row>
    <row r="22" spans="2:23" x14ac:dyDescent="0.25">
      <c r="B22" t="s">
        <v>768</v>
      </c>
    </row>
    <row r="23" spans="2:23" x14ac:dyDescent="0.25">
      <c r="B23" t="s">
        <v>800</v>
      </c>
    </row>
    <row r="24" spans="2:23" x14ac:dyDescent="0.25">
      <c r="B24" t="s">
        <v>767</v>
      </c>
    </row>
    <row r="25" spans="2:23" x14ac:dyDescent="0.25">
      <c r="B25" t="s">
        <v>801</v>
      </c>
    </row>
    <row r="27" spans="2:23" x14ac:dyDescent="0.25">
      <c r="B27" s="1" t="s">
        <v>764</v>
      </c>
    </row>
    <row r="28" spans="2:23" x14ac:dyDescent="0.25">
      <c r="B28" t="s">
        <v>766</v>
      </c>
    </row>
    <row r="29" spans="2:23" ht="18.75" customHeight="1" x14ac:dyDescent="0.25">
      <c r="B29" t="s">
        <v>2</v>
      </c>
      <c r="G29" s="6" t="s">
        <v>3</v>
      </c>
      <c r="H29" s="5"/>
      <c r="I29" s="5"/>
      <c r="J29" s="5"/>
      <c r="K29" s="5"/>
      <c r="L29" s="5"/>
      <c r="M29" s="5"/>
      <c r="N29" s="5"/>
      <c r="O29" s="5"/>
      <c r="P29" s="5"/>
      <c r="Q29" s="5"/>
      <c r="R29" s="5"/>
      <c r="S29" s="5"/>
      <c r="T29" s="5"/>
      <c r="U29" s="5"/>
      <c r="V29" s="5"/>
      <c r="W29" s="5"/>
    </row>
    <row r="30" spans="2:23" x14ac:dyDescent="0.25">
      <c r="B30" t="s">
        <v>40</v>
      </c>
    </row>
    <row r="32" spans="2:23" x14ac:dyDescent="0.25">
      <c r="B32" s="1" t="s">
        <v>769</v>
      </c>
    </row>
    <row r="33" spans="2:2" x14ac:dyDescent="0.25">
      <c r="B33" t="s">
        <v>770</v>
      </c>
    </row>
    <row r="34" spans="2:2" x14ac:dyDescent="0.25">
      <c r="B34" t="s">
        <v>4</v>
      </c>
    </row>
    <row r="35" spans="2:2" x14ac:dyDescent="0.25">
      <c r="B35" s="4" t="s">
        <v>5</v>
      </c>
    </row>
    <row r="36" spans="2:2" x14ac:dyDescent="0.25">
      <c r="B36" s="4" t="s">
        <v>6</v>
      </c>
    </row>
    <row r="38" spans="2:2" x14ac:dyDescent="0.25">
      <c r="B38" s="1" t="s">
        <v>771</v>
      </c>
    </row>
    <row r="39" spans="2:2" x14ac:dyDescent="0.25">
      <c r="B39" t="s">
        <v>772</v>
      </c>
    </row>
    <row r="40" spans="2:2" x14ac:dyDescent="0.25">
      <c r="B40" t="s">
        <v>773</v>
      </c>
    </row>
    <row r="42" spans="2:2" x14ac:dyDescent="0.25">
      <c r="B42" s="2" t="s">
        <v>7</v>
      </c>
    </row>
    <row r="43" spans="2:2" x14ac:dyDescent="0.25">
      <c r="B43" t="s">
        <v>8</v>
      </c>
    </row>
  </sheetData>
  <mergeCells count="1">
    <mergeCell ref="B6:K8"/>
  </mergeCells>
  <hyperlinks>
    <hyperlink ref="B35" r:id="rId1" xr:uid="{00000000-0004-0000-0000-000000000000}"/>
    <hyperlink ref="B36" r:id="rId2" xr:uid="{00000000-0004-0000-0000-000001000000}"/>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6:S212"/>
  <sheetViews>
    <sheetView view="pageBreakPreview" topLeftCell="A15" zoomScale="115" zoomScaleNormal="115" zoomScaleSheetLayoutView="115" workbookViewId="0">
      <selection activeCell="B58" sqref="B58"/>
    </sheetView>
  </sheetViews>
  <sheetFormatPr baseColWidth="10" defaultColWidth="11.42578125" defaultRowHeight="15" x14ac:dyDescent="0.25"/>
  <cols>
    <col min="1" max="1" width="19" customWidth="1"/>
    <col min="2" max="2" width="18.7109375" customWidth="1"/>
    <col min="3" max="3" width="19.7109375" customWidth="1"/>
    <col min="4" max="4" width="16.42578125" customWidth="1"/>
    <col min="7" max="7" width="13.28515625" customWidth="1"/>
    <col min="12" max="12" width="12.5703125" customWidth="1"/>
    <col min="15" max="15" width="12.140625" customWidth="1"/>
  </cols>
  <sheetData>
    <row r="6" spans="2:19" ht="15.75" x14ac:dyDescent="0.25">
      <c r="D6" s="236" t="s">
        <v>774</v>
      </c>
    </row>
    <row r="7" spans="2:19" ht="15.75" customHeight="1" x14ac:dyDescent="0.25">
      <c r="B7" s="295" t="s">
        <v>775</v>
      </c>
      <c r="C7" s="295"/>
      <c r="D7" s="295"/>
      <c r="E7" s="295"/>
      <c r="F7" s="295"/>
      <c r="G7" s="295"/>
      <c r="H7" s="19"/>
      <c r="I7" s="19"/>
      <c r="J7" s="19"/>
      <c r="K7" s="19"/>
    </row>
    <row r="8" spans="2:19" x14ac:dyDescent="0.25">
      <c r="B8" s="295"/>
      <c r="C8" s="295"/>
      <c r="D8" s="295"/>
      <c r="E8" s="295"/>
      <c r="F8" s="295"/>
      <c r="G8" s="295"/>
      <c r="H8" s="19"/>
      <c r="I8" s="19"/>
      <c r="J8" s="19"/>
      <c r="K8" s="19"/>
    </row>
    <row r="9" spans="2:19" x14ac:dyDescent="0.25">
      <c r="B9" s="295"/>
      <c r="C9" s="295"/>
      <c r="D9" s="295"/>
      <c r="E9" s="295"/>
      <c r="F9" s="295"/>
      <c r="G9" s="295"/>
      <c r="H9" s="19"/>
      <c r="I9" s="19"/>
      <c r="J9" s="19"/>
      <c r="K9" s="19"/>
    </row>
    <row r="10" spans="2:19" ht="18.75" x14ac:dyDescent="0.25">
      <c r="D10" s="247" t="s">
        <v>776</v>
      </c>
    </row>
    <row r="12" spans="2:19" ht="17.25" customHeight="1" x14ac:dyDescent="0.35">
      <c r="D12" s="274" t="s">
        <v>787</v>
      </c>
    </row>
    <row r="13" spans="2:19" x14ac:dyDescent="0.25">
      <c r="B13" s="2" t="s">
        <v>686</v>
      </c>
      <c r="M13" s="297"/>
      <c r="N13" s="297"/>
      <c r="O13" s="297"/>
      <c r="P13" s="297"/>
      <c r="Q13" s="297"/>
      <c r="R13" s="297"/>
      <c r="S13" s="297"/>
    </row>
    <row r="14" spans="2:19" ht="15.75" thickBot="1" x14ac:dyDescent="0.3">
      <c r="M14" s="298"/>
      <c r="N14" s="298"/>
      <c r="O14" s="296"/>
      <c r="P14" s="297"/>
      <c r="Q14" s="298"/>
      <c r="R14" s="298"/>
      <c r="S14" s="296"/>
    </row>
    <row r="15" spans="2:19" ht="15.75" thickBot="1" x14ac:dyDescent="0.3">
      <c r="B15" s="269" t="s">
        <v>789</v>
      </c>
      <c r="C15" s="275" t="s">
        <v>790</v>
      </c>
      <c r="D15" s="41"/>
      <c r="I15" s="13"/>
      <c r="J15" s="13"/>
      <c r="L15" s="13"/>
      <c r="M15" s="298"/>
      <c r="N15" s="298"/>
      <c r="O15" s="296"/>
      <c r="P15" s="297"/>
      <c r="Q15" s="298"/>
      <c r="R15" s="298"/>
      <c r="S15" s="296"/>
    </row>
    <row r="16" spans="2:19" x14ac:dyDescent="0.25">
      <c r="B16" s="193" t="s">
        <v>9</v>
      </c>
      <c r="C16" s="13" t="s">
        <v>503</v>
      </c>
      <c r="D16" s="194"/>
      <c r="P16" s="13"/>
    </row>
    <row r="17" spans="2:12" x14ac:dyDescent="0.25">
      <c r="B17" s="193" t="s">
        <v>10</v>
      </c>
      <c r="C17" s="13" t="s">
        <v>11</v>
      </c>
      <c r="D17" s="194"/>
    </row>
    <row r="18" spans="2:12" x14ac:dyDescent="0.25">
      <c r="B18" s="193" t="s">
        <v>656</v>
      </c>
      <c r="C18" s="230">
        <f>'Building &amp; Material inputs'!C65+'Building &amp; Material inputs'!C66</f>
        <v>257.52</v>
      </c>
      <c r="D18" s="194" t="s">
        <v>332</v>
      </c>
      <c r="G18" s="21"/>
    </row>
    <row r="19" spans="2:12" x14ac:dyDescent="0.25">
      <c r="B19" s="193" t="s">
        <v>12</v>
      </c>
      <c r="C19" s="234">
        <v>50</v>
      </c>
      <c r="D19" s="194" t="s">
        <v>655</v>
      </c>
      <c r="G19" s="21"/>
      <c r="L19" s="21"/>
    </row>
    <row r="20" spans="2:12" x14ac:dyDescent="0.25">
      <c r="B20" s="193" t="s">
        <v>653</v>
      </c>
      <c r="C20" s="13" t="s">
        <v>654</v>
      </c>
      <c r="D20" s="194"/>
      <c r="G20" s="21"/>
      <c r="L20" s="21"/>
    </row>
    <row r="21" spans="2:12" ht="15.75" thickBot="1" x14ac:dyDescent="0.3">
      <c r="B21" s="195" t="s">
        <v>13</v>
      </c>
      <c r="C21" s="232" t="s">
        <v>652</v>
      </c>
      <c r="D21" s="196"/>
    </row>
    <row r="22" spans="2:12" x14ac:dyDescent="0.25">
      <c r="I22" s="13"/>
    </row>
    <row r="23" spans="2:12" x14ac:dyDescent="0.25">
      <c r="E23" s="102"/>
      <c r="F23" s="272" t="s">
        <v>578</v>
      </c>
      <c r="I23" s="13"/>
    </row>
    <row r="24" spans="2:12" x14ac:dyDescent="0.25">
      <c r="E24" s="265">
        <v>10.8</v>
      </c>
      <c r="F24" s="271" t="s">
        <v>579</v>
      </c>
      <c r="G24" s="266"/>
      <c r="H24" s="267"/>
      <c r="I24" s="13"/>
    </row>
    <row r="25" spans="2:12" x14ac:dyDescent="0.25">
      <c r="E25" s="268">
        <v>23.87</v>
      </c>
      <c r="F25" s="273" t="s">
        <v>580</v>
      </c>
      <c r="G25" s="257"/>
      <c r="H25" s="257"/>
      <c r="I25" s="13"/>
    </row>
    <row r="27" spans="2:12" x14ac:dyDescent="0.25">
      <c r="B27" s="2" t="s">
        <v>696</v>
      </c>
      <c r="D27" s="13"/>
    </row>
    <row r="28" spans="2:12" x14ac:dyDescent="0.25">
      <c r="D28" s="13"/>
    </row>
    <row r="29" spans="2:12" x14ac:dyDescent="0.25">
      <c r="C29" s="21" t="s">
        <v>506</v>
      </c>
      <c r="D29" s="52">
        <f>14.2+23.8+15.89</f>
        <v>53.89</v>
      </c>
    </row>
    <row r="30" spans="2:12" x14ac:dyDescent="0.25">
      <c r="C30" s="21" t="s">
        <v>507</v>
      </c>
      <c r="D30" s="52">
        <v>9.5299999999999994</v>
      </c>
    </row>
    <row r="31" spans="2:12" x14ac:dyDescent="0.25">
      <c r="C31" s="21" t="s">
        <v>508</v>
      </c>
      <c r="D31" s="52">
        <v>73.81</v>
      </c>
    </row>
    <row r="32" spans="2:12" x14ac:dyDescent="0.25">
      <c r="C32" s="21" t="s">
        <v>509</v>
      </c>
      <c r="D32" s="52">
        <v>23.87</v>
      </c>
    </row>
    <row r="33" spans="3:4" x14ac:dyDescent="0.25">
      <c r="C33" s="21" t="s">
        <v>504</v>
      </c>
      <c r="D33" s="52">
        <v>0</v>
      </c>
    </row>
    <row r="34" spans="3:4" x14ac:dyDescent="0.25">
      <c r="C34" s="21" t="s">
        <v>505</v>
      </c>
      <c r="D34" s="52">
        <v>0</v>
      </c>
    </row>
    <row r="35" spans="3:4" x14ac:dyDescent="0.25">
      <c r="C35" s="21" t="s">
        <v>510</v>
      </c>
      <c r="D35" s="52">
        <v>0</v>
      </c>
    </row>
    <row r="36" spans="3:4" x14ac:dyDescent="0.25">
      <c r="C36" s="21" t="s">
        <v>525</v>
      </c>
      <c r="D36" s="52">
        <v>0</v>
      </c>
    </row>
    <row r="37" spans="3:4" x14ac:dyDescent="0.25">
      <c r="C37" s="21" t="s">
        <v>526</v>
      </c>
      <c r="D37" s="52">
        <v>0</v>
      </c>
    </row>
    <row r="39" spans="3:4" x14ac:dyDescent="0.25">
      <c r="C39" s="21" t="s">
        <v>511</v>
      </c>
      <c r="D39" s="52">
        <v>10.89</v>
      </c>
    </row>
    <row r="40" spans="3:4" x14ac:dyDescent="0.25">
      <c r="C40" s="21" t="s">
        <v>512</v>
      </c>
      <c r="D40" s="52">
        <v>19.68</v>
      </c>
    </row>
    <row r="41" spans="3:4" x14ac:dyDescent="0.25">
      <c r="C41" s="21" t="s">
        <v>527</v>
      </c>
      <c r="D41" s="52">
        <v>0</v>
      </c>
    </row>
    <row r="42" spans="3:4" x14ac:dyDescent="0.25">
      <c r="C42" s="21" t="s">
        <v>658</v>
      </c>
      <c r="D42" s="52">
        <f>274.69+76.44</f>
        <v>351.13</v>
      </c>
    </row>
    <row r="43" spans="3:4" x14ac:dyDescent="0.25">
      <c r="C43" s="21" t="s">
        <v>513</v>
      </c>
      <c r="D43" s="52">
        <v>221.66</v>
      </c>
    </row>
    <row r="44" spans="3:4" x14ac:dyDescent="0.25">
      <c r="C44" s="21" t="s">
        <v>514</v>
      </c>
      <c r="D44" s="52">
        <v>374.42</v>
      </c>
    </row>
    <row r="45" spans="3:4" x14ac:dyDescent="0.25">
      <c r="C45" s="21" t="s">
        <v>515</v>
      </c>
      <c r="D45" s="52">
        <v>0</v>
      </c>
    </row>
    <row r="46" spans="3:4" x14ac:dyDescent="0.25">
      <c r="C46" s="21" t="s">
        <v>546</v>
      </c>
      <c r="D46" s="52">
        <v>10.8</v>
      </c>
    </row>
    <row r="47" spans="3:4" x14ac:dyDescent="0.25">
      <c r="C47" s="21" t="s">
        <v>559</v>
      </c>
      <c r="D47" s="52">
        <v>0</v>
      </c>
    </row>
    <row r="48" spans="3:4" x14ac:dyDescent="0.25">
      <c r="C48" s="21" t="s">
        <v>632</v>
      </c>
      <c r="D48" s="52">
        <v>0</v>
      </c>
    </row>
    <row r="49" spans="2:5" x14ac:dyDescent="0.25">
      <c r="C49" s="21" t="s">
        <v>631</v>
      </c>
      <c r="D49" s="52">
        <v>0</v>
      </c>
    </row>
    <row r="51" spans="2:5" x14ac:dyDescent="0.25">
      <c r="C51" s="21" t="s">
        <v>516</v>
      </c>
      <c r="D51" s="52">
        <v>7.64</v>
      </c>
    </row>
    <row r="52" spans="2:5" x14ac:dyDescent="0.25">
      <c r="C52" s="21" t="s">
        <v>528</v>
      </c>
      <c r="D52" s="52">
        <v>4</v>
      </c>
    </row>
    <row r="53" spans="2:5" x14ac:dyDescent="0.25">
      <c r="C53" s="21" t="s">
        <v>557</v>
      </c>
      <c r="D53" s="52">
        <v>4</v>
      </c>
    </row>
    <row r="54" spans="2:5" x14ac:dyDescent="0.25">
      <c r="C54" s="21" t="s">
        <v>517</v>
      </c>
      <c r="D54" s="52">
        <v>21.54</v>
      </c>
    </row>
    <row r="55" spans="2:5" x14ac:dyDescent="0.25">
      <c r="C55" s="21" t="s">
        <v>518</v>
      </c>
      <c r="D55" s="52">
        <f>'Building &amp; Material inputs'!D67+'Building &amp; Material inputs'!D68</f>
        <v>134.32999999999998</v>
      </c>
    </row>
    <row r="56" spans="2:5" x14ac:dyDescent="0.25">
      <c r="C56" s="21" t="s">
        <v>750</v>
      </c>
      <c r="D56" s="52">
        <f>'Building &amp; Material inputs'!D65+'Building &amp; Material inputs'!D68</f>
        <v>86.22</v>
      </c>
    </row>
    <row r="57" spans="2:5" x14ac:dyDescent="0.25">
      <c r="C57" s="21" t="s">
        <v>519</v>
      </c>
      <c r="D57" s="52">
        <v>20</v>
      </c>
    </row>
    <row r="58" spans="2:5" x14ac:dyDescent="0.25">
      <c r="C58" s="21" t="s">
        <v>540</v>
      </c>
      <c r="D58" s="52">
        <f>22*1.2</f>
        <v>26.4</v>
      </c>
    </row>
    <row r="59" spans="2:5" x14ac:dyDescent="0.25">
      <c r="C59" s="21" t="s">
        <v>541</v>
      </c>
      <c r="D59" s="52">
        <v>5.5</v>
      </c>
    </row>
    <row r="60" spans="2:5" x14ac:dyDescent="0.25">
      <c r="C60" s="21"/>
      <c r="D60" s="102"/>
    </row>
    <row r="61" spans="2:5" x14ac:dyDescent="0.25">
      <c r="B61" s="108" t="s">
        <v>751</v>
      </c>
    </row>
    <row r="63" spans="2:5" x14ac:dyDescent="0.25">
      <c r="B63" s="9" t="s">
        <v>682</v>
      </c>
      <c r="C63" s="9" t="s">
        <v>500</v>
      </c>
      <c r="D63" s="9" t="s">
        <v>501</v>
      </c>
      <c r="E63" s="9" t="s">
        <v>502</v>
      </c>
    </row>
    <row r="65" spans="2:5" x14ac:dyDescent="0.25">
      <c r="B65" s="48" t="s">
        <v>499</v>
      </c>
      <c r="C65" s="34">
        <v>116.52</v>
      </c>
      <c r="D65" s="34">
        <f>30.2+50.17</f>
        <v>80.37</v>
      </c>
      <c r="E65" s="34">
        <f>C65+D65</f>
        <v>196.89</v>
      </c>
    </row>
    <row r="66" spans="2:5" x14ac:dyDescent="0.25">
      <c r="B66" s="48" t="s">
        <v>683</v>
      </c>
      <c r="C66" s="34">
        <v>141</v>
      </c>
      <c r="D66" s="235"/>
      <c r="E66" s="235"/>
    </row>
    <row r="67" spans="2:5" x14ac:dyDescent="0.25">
      <c r="B67" s="48" t="s">
        <v>684</v>
      </c>
      <c r="C67" s="235"/>
      <c r="D67" s="34">
        <v>128.47999999999999</v>
      </c>
      <c r="E67" s="235"/>
    </row>
    <row r="68" spans="2:5" x14ac:dyDescent="0.25">
      <c r="B68" s="48" t="s">
        <v>685</v>
      </c>
      <c r="C68" s="235"/>
      <c r="D68" s="34">
        <v>5.85</v>
      </c>
      <c r="E68" s="235"/>
    </row>
    <row r="71" spans="2:5" x14ac:dyDescent="0.25">
      <c r="B71" s="2" t="s">
        <v>695</v>
      </c>
    </row>
    <row r="73" spans="2:5" x14ac:dyDescent="0.25">
      <c r="B73" s="109" t="s">
        <v>690</v>
      </c>
      <c r="C73" s="2"/>
      <c r="D73" s="234">
        <v>2</v>
      </c>
      <c r="E73" t="s">
        <v>709</v>
      </c>
    </row>
    <row r="80" spans="2:5" x14ac:dyDescent="0.25">
      <c r="C80" t="s">
        <v>687</v>
      </c>
      <c r="D80" t="s">
        <v>688</v>
      </c>
      <c r="E80" t="s">
        <v>689</v>
      </c>
    </row>
    <row r="82" spans="2:5" x14ac:dyDescent="0.25">
      <c r="B82" s="109" t="s">
        <v>691</v>
      </c>
      <c r="C82" s="2"/>
      <c r="D82" s="234">
        <v>1</v>
      </c>
    </row>
    <row r="88" spans="2:5" x14ac:dyDescent="0.25">
      <c r="C88" t="s">
        <v>692</v>
      </c>
      <c r="D88" t="s">
        <v>693</v>
      </c>
      <c r="E88" t="s">
        <v>694</v>
      </c>
    </row>
    <row r="90" spans="2:5" x14ac:dyDescent="0.25">
      <c r="B90" s="109" t="s">
        <v>697</v>
      </c>
      <c r="C90" s="2"/>
      <c r="D90" s="234">
        <v>1</v>
      </c>
      <c r="E90" t="s">
        <v>708</v>
      </c>
    </row>
    <row r="96" spans="2:5" x14ac:dyDescent="0.25">
      <c r="B96" t="s">
        <v>700</v>
      </c>
      <c r="C96" t="s">
        <v>698</v>
      </c>
      <c r="D96" t="s">
        <v>702</v>
      </c>
      <c r="E96" t="s">
        <v>703</v>
      </c>
    </row>
    <row r="97" spans="2:4" x14ac:dyDescent="0.25">
      <c r="B97" t="s">
        <v>699</v>
      </c>
      <c r="C97" t="s">
        <v>699</v>
      </c>
      <c r="D97" t="s">
        <v>701</v>
      </c>
    </row>
    <row r="98" spans="2:4" x14ac:dyDescent="0.25">
      <c r="B98" s="109" t="s">
        <v>710</v>
      </c>
    </row>
    <row r="99" spans="2:4" ht="7.5" customHeight="1" x14ac:dyDescent="0.25">
      <c r="B99" s="109"/>
    </row>
    <row r="100" spans="2:4" x14ac:dyDescent="0.25">
      <c r="C100" s="2" t="s">
        <v>705</v>
      </c>
      <c r="D100" s="234">
        <v>1</v>
      </c>
    </row>
    <row r="101" spans="2:4" x14ac:dyDescent="0.25">
      <c r="B101" t="s">
        <v>704</v>
      </c>
    </row>
    <row r="105" spans="2:4" x14ac:dyDescent="0.25">
      <c r="C105" t="s">
        <v>706</v>
      </c>
      <c r="D105" t="s">
        <v>707</v>
      </c>
    </row>
    <row r="107" spans="2:4" x14ac:dyDescent="0.25">
      <c r="B107" s="109" t="s">
        <v>714</v>
      </c>
    </row>
    <row r="108" spans="2:4" ht="6.75" customHeight="1" x14ac:dyDescent="0.25">
      <c r="B108" s="109"/>
    </row>
    <row r="109" spans="2:4" x14ac:dyDescent="0.25">
      <c r="C109" s="233" t="s">
        <v>711</v>
      </c>
      <c r="D109" s="234">
        <v>0</v>
      </c>
    </row>
    <row r="110" spans="2:4" x14ac:dyDescent="0.25">
      <c r="C110" t="s">
        <v>704</v>
      </c>
    </row>
    <row r="114" spans="2:5" x14ac:dyDescent="0.25">
      <c r="C114" t="s">
        <v>732</v>
      </c>
      <c r="D114" t="s">
        <v>734</v>
      </c>
      <c r="E114" t="s">
        <v>712</v>
      </c>
    </row>
    <row r="115" spans="2:5" x14ac:dyDescent="0.25">
      <c r="C115" t="s">
        <v>733</v>
      </c>
      <c r="D115" t="s">
        <v>735</v>
      </c>
      <c r="E115" t="s">
        <v>713</v>
      </c>
    </row>
    <row r="117" spans="2:5" x14ac:dyDescent="0.25">
      <c r="B117" s="109" t="s">
        <v>719</v>
      </c>
      <c r="C117" s="2"/>
      <c r="D117" s="234">
        <v>1</v>
      </c>
    </row>
    <row r="118" spans="2:5" ht="8.25" customHeight="1" x14ac:dyDescent="0.25">
      <c r="B118" s="109"/>
      <c r="C118" s="2"/>
      <c r="D118" s="231"/>
    </row>
    <row r="119" spans="2:5" x14ac:dyDescent="0.25">
      <c r="C119" t="s">
        <v>704</v>
      </c>
    </row>
    <row r="123" spans="2:5" x14ac:dyDescent="0.25">
      <c r="C123" t="s">
        <v>715</v>
      </c>
      <c r="D123" t="s">
        <v>716</v>
      </c>
      <c r="E123" t="s">
        <v>718</v>
      </c>
    </row>
    <row r="124" spans="2:5" x14ac:dyDescent="0.25">
      <c r="D124" t="s">
        <v>717</v>
      </c>
    </row>
    <row r="126" spans="2:5" x14ac:dyDescent="0.25">
      <c r="B126" s="109" t="s">
        <v>720</v>
      </c>
      <c r="C126" s="2"/>
      <c r="D126" s="234">
        <v>1</v>
      </c>
    </row>
    <row r="127" spans="2:5" ht="7.5" customHeight="1" x14ac:dyDescent="0.25">
      <c r="B127" s="109"/>
      <c r="C127" s="2"/>
      <c r="D127" s="231"/>
    </row>
    <row r="128" spans="2:5" x14ac:dyDescent="0.25">
      <c r="C128" t="s">
        <v>704</v>
      </c>
    </row>
    <row r="132" spans="2:5" x14ac:dyDescent="0.25">
      <c r="C132" t="s">
        <v>721</v>
      </c>
      <c r="D132" t="s">
        <v>722</v>
      </c>
      <c r="E132" t="s">
        <v>724</v>
      </c>
    </row>
    <row r="133" spans="2:5" x14ac:dyDescent="0.25">
      <c r="D133" t="s">
        <v>723</v>
      </c>
      <c r="E133" t="s">
        <v>725</v>
      </c>
    </row>
    <row r="135" spans="2:5" x14ac:dyDescent="0.25">
      <c r="B135" s="109" t="s">
        <v>726</v>
      </c>
      <c r="C135" s="2"/>
      <c r="D135" s="234">
        <v>1</v>
      </c>
    </row>
    <row r="136" spans="2:5" x14ac:dyDescent="0.25">
      <c r="B136" s="109"/>
      <c r="C136" s="2"/>
      <c r="D136" s="231"/>
    </row>
    <row r="137" spans="2:5" x14ac:dyDescent="0.25">
      <c r="C137" t="s">
        <v>704</v>
      </c>
    </row>
    <row r="141" spans="2:5" x14ac:dyDescent="0.25">
      <c r="C141" t="s">
        <v>727</v>
      </c>
      <c r="D141" t="s">
        <v>693</v>
      </c>
      <c r="E141" t="s">
        <v>694</v>
      </c>
    </row>
    <row r="143" spans="2:5" x14ac:dyDescent="0.25">
      <c r="B143" s="109" t="s">
        <v>728</v>
      </c>
      <c r="C143" s="2"/>
      <c r="D143" s="234">
        <v>1</v>
      </c>
    </row>
    <row r="144" spans="2:5" ht="8.25" customHeight="1" x14ac:dyDescent="0.25">
      <c r="B144" s="109"/>
      <c r="C144" s="2"/>
      <c r="D144" s="231"/>
    </row>
    <row r="145" spans="2:9" x14ac:dyDescent="0.25">
      <c r="B145" s="109"/>
      <c r="C145" s="2"/>
      <c r="D145" s="231"/>
    </row>
    <row r="146" spans="2:9" x14ac:dyDescent="0.25">
      <c r="C146" t="s">
        <v>704</v>
      </c>
    </row>
    <row r="150" spans="2:9" x14ac:dyDescent="0.25">
      <c r="C150" t="s">
        <v>731</v>
      </c>
      <c r="D150" t="s">
        <v>729</v>
      </c>
      <c r="E150" t="s">
        <v>730</v>
      </c>
    </row>
    <row r="152" spans="2:9" x14ac:dyDescent="0.25">
      <c r="B152" s="109" t="s">
        <v>736</v>
      </c>
    </row>
    <row r="153" spans="2:9" x14ac:dyDescent="0.25">
      <c r="B153" s="109"/>
    </row>
    <row r="154" spans="2:9" x14ac:dyDescent="0.25">
      <c r="C154" s="233" t="s">
        <v>737</v>
      </c>
      <c r="D154" s="234">
        <v>1</v>
      </c>
    </row>
    <row r="155" spans="2:9" x14ac:dyDescent="0.25">
      <c r="C155" t="s">
        <v>704</v>
      </c>
    </row>
    <row r="156" spans="2:9" x14ac:dyDescent="0.25">
      <c r="C156" t="s">
        <v>409</v>
      </c>
      <c r="D156" t="s">
        <v>404</v>
      </c>
      <c r="E156" t="s">
        <v>410</v>
      </c>
      <c r="I156" s="25"/>
    </row>
    <row r="157" spans="2:9" x14ac:dyDescent="0.25">
      <c r="I157" s="25"/>
    </row>
    <row r="158" spans="2:9" x14ac:dyDescent="0.25">
      <c r="C158" t="s">
        <v>738</v>
      </c>
      <c r="D158" t="s">
        <v>740</v>
      </c>
      <c r="E158" t="s">
        <v>742</v>
      </c>
    </row>
    <row r="159" spans="2:9" x14ac:dyDescent="0.25">
      <c r="C159" t="s">
        <v>739</v>
      </c>
      <c r="D159" t="s">
        <v>741</v>
      </c>
      <c r="E159" t="s">
        <v>743</v>
      </c>
    </row>
    <row r="161" spans="2:6" x14ac:dyDescent="0.25">
      <c r="B161" s="109" t="s">
        <v>744</v>
      </c>
      <c r="C161" s="2"/>
      <c r="D161" s="234">
        <v>1</v>
      </c>
    </row>
    <row r="162" spans="2:6" x14ac:dyDescent="0.25">
      <c r="B162" s="109"/>
      <c r="C162" s="2"/>
      <c r="D162" s="231"/>
    </row>
    <row r="163" spans="2:6" x14ac:dyDescent="0.25">
      <c r="B163" s="109"/>
      <c r="C163" s="2"/>
      <c r="D163" s="231"/>
    </row>
    <row r="164" spans="2:6" x14ac:dyDescent="0.25">
      <c r="C164" t="s">
        <v>704</v>
      </c>
    </row>
    <row r="168" spans="2:6" x14ac:dyDescent="0.25">
      <c r="C168" t="s">
        <v>745</v>
      </c>
      <c r="D168" t="s">
        <v>747</v>
      </c>
      <c r="E168" t="s">
        <v>749</v>
      </c>
    </row>
    <row r="169" spans="2:6" x14ac:dyDescent="0.25">
      <c r="C169" t="s">
        <v>746</v>
      </c>
      <c r="D169" t="s">
        <v>748</v>
      </c>
      <c r="F169" t="s">
        <v>417</v>
      </c>
    </row>
    <row r="170" spans="2:6" x14ac:dyDescent="0.25">
      <c r="C170" t="s">
        <v>413</v>
      </c>
      <c r="D170" t="s">
        <v>416</v>
      </c>
    </row>
    <row r="172" spans="2:6" x14ac:dyDescent="0.25">
      <c r="B172" s="109" t="s">
        <v>752</v>
      </c>
      <c r="C172" s="2"/>
      <c r="D172" s="234">
        <v>1</v>
      </c>
      <c r="E172" t="s">
        <v>758</v>
      </c>
    </row>
    <row r="173" spans="2:6" x14ac:dyDescent="0.25">
      <c r="B173" s="109"/>
      <c r="C173" s="2"/>
      <c r="D173" s="231"/>
    </row>
    <row r="174" spans="2:6" x14ac:dyDescent="0.25">
      <c r="B174" s="109"/>
      <c r="C174" s="2"/>
      <c r="D174" s="231"/>
    </row>
    <row r="175" spans="2:6" x14ac:dyDescent="0.25">
      <c r="B175" s="109"/>
      <c r="C175" s="2"/>
      <c r="D175" s="231"/>
    </row>
    <row r="176" spans="2:6" x14ac:dyDescent="0.25">
      <c r="B176" s="109"/>
      <c r="C176" s="2"/>
      <c r="D176" s="231"/>
    </row>
    <row r="177" spans="2:4" x14ac:dyDescent="0.25">
      <c r="B177" s="109"/>
      <c r="C177" s="2"/>
      <c r="D177" s="231"/>
    </row>
    <row r="178" spans="2:4" x14ac:dyDescent="0.25">
      <c r="B178" s="109"/>
      <c r="C178" s="2"/>
      <c r="D178" s="231"/>
    </row>
    <row r="179" spans="2:4" x14ac:dyDescent="0.25">
      <c r="C179" t="s">
        <v>704</v>
      </c>
    </row>
    <row r="183" spans="2:4" x14ac:dyDescent="0.25">
      <c r="C183" t="s">
        <v>753</v>
      </c>
      <c r="D183" t="s">
        <v>754</v>
      </c>
    </row>
    <row r="185" spans="2:4" x14ac:dyDescent="0.25">
      <c r="B185" s="109" t="s">
        <v>755</v>
      </c>
      <c r="C185" s="2"/>
      <c r="D185" s="234">
        <v>1</v>
      </c>
    </row>
    <row r="186" spans="2:4" x14ac:dyDescent="0.25">
      <c r="B186" s="109"/>
      <c r="C186" s="2"/>
      <c r="D186" s="231"/>
    </row>
    <row r="187" spans="2:4" x14ac:dyDescent="0.25">
      <c r="B187" s="109"/>
      <c r="C187" s="2"/>
      <c r="D187" s="231"/>
    </row>
    <row r="188" spans="2:4" x14ac:dyDescent="0.25">
      <c r="B188" s="109"/>
      <c r="C188" s="2"/>
      <c r="D188" s="231"/>
    </row>
    <row r="189" spans="2:4" x14ac:dyDescent="0.25">
      <c r="B189" s="109"/>
      <c r="C189" s="2"/>
      <c r="D189" s="231"/>
    </row>
    <row r="190" spans="2:4" x14ac:dyDescent="0.25">
      <c r="B190" s="109"/>
      <c r="C190" s="2"/>
      <c r="D190" s="231"/>
    </row>
    <row r="191" spans="2:4" x14ac:dyDescent="0.25">
      <c r="B191" s="109"/>
      <c r="C191" s="2"/>
      <c r="D191" s="231"/>
    </row>
    <row r="192" spans="2:4" x14ac:dyDescent="0.25">
      <c r="C192" t="s">
        <v>704</v>
      </c>
    </row>
    <row r="196" spans="2:6" x14ac:dyDescent="0.25">
      <c r="C196" t="s">
        <v>757</v>
      </c>
      <c r="D196" t="s">
        <v>756</v>
      </c>
    </row>
    <row r="198" spans="2:6" x14ac:dyDescent="0.25">
      <c r="B198" s="109" t="s">
        <v>759</v>
      </c>
      <c r="C198" s="2"/>
    </row>
    <row r="199" spans="2:6" x14ac:dyDescent="0.25">
      <c r="B199" s="109"/>
      <c r="C199" s="2"/>
      <c r="D199" s="231"/>
    </row>
    <row r="200" spans="2:6" x14ac:dyDescent="0.25">
      <c r="B200" s="109" t="s">
        <v>760</v>
      </c>
      <c r="E200" s="234">
        <v>2</v>
      </c>
      <c r="F200" t="s">
        <v>763</v>
      </c>
    </row>
    <row r="202" spans="2:6" x14ac:dyDescent="0.25">
      <c r="C202" t="s">
        <v>761</v>
      </c>
      <c r="D202" t="s">
        <v>762</v>
      </c>
    </row>
    <row r="204" spans="2:6" x14ac:dyDescent="0.25">
      <c r="B204" s="109" t="s">
        <v>798</v>
      </c>
      <c r="C204" s="2"/>
      <c r="E204" s="234">
        <v>1</v>
      </c>
      <c r="F204" t="s">
        <v>799</v>
      </c>
    </row>
    <row r="205" spans="2:6" x14ac:dyDescent="0.25">
      <c r="B205" s="109"/>
      <c r="C205" s="2"/>
      <c r="D205" s="231"/>
    </row>
    <row r="206" spans="2:6" x14ac:dyDescent="0.25">
      <c r="B206" s="109"/>
      <c r="C206" s="293">
        <v>1</v>
      </c>
      <c r="D206" s="291" t="s">
        <v>343</v>
      </c>
      <c r="E206" s="290" t="s">
        <v>793</v>
      </c>
    </row>
    <row r="207" spans="2:6" x14ac:dyDescent="0.25">
      <c r="C207" s="293">
        <f>C206+1</f>
        <v>2</v>
      </c>
      <c r="D207" s="292" t="s">
        <v>345</v>
      </c>
      <c r="E207" s="290" t="s">
        <v>794</v>
      </c>
    </row>
    <row r="208" spans="2:6" x14ac:dyDescent="0.25">
      <c r="C208" s="293">
        <f t="shared" ref="C208:C211" si="0">C207+1</f>
        <v>3</v>
      </c>
      <c r="D208" s="292" t="s">
        <v>347</v>
      </c>
      <c r="E208" s="290" t="s">
        <v>349</v>
      </c>
    </row>
    <row r="209" spans="3:5" x14ac:dyDescent="0.25">
      <c r="C209" s="293">
        <f t="shared" si="0"/>
        <v>4</v>
      </c>
      <c r="D209" s="292" t="s">
        <v>350</v>
      </c>
      <c r="E209" s="290" t="s">
        <v>797</v>
      </c>
    </row>
    <row r="210" spans="3:5" x14ac:dyDescent="0.25">
      <c r="C210" s="293">
        <f t="shared" si="0"/>
        <v>5</v>
      </c>
      <c r="D210" s="292" t="s">
        <v>354</v>
      </c>
      <c r="E210" s="290" t="s">
        <v>795</v>
      </c>
    </row>
    <row r="211" spans="3:5" x14ac:dyDescent="0.25">
      <c r="C211" s="293">
        <f t="shared" si="0"/>
        <v>6</v>
      </c>
      <c r="D211" s="292" t="s">
        <v>358</v>
      </c>
      <c r="E211" s="290" t="s">
        <v>796</v>
      </c>
    </row>
    <row r="212" spans="3:5" x14ac:dyDescent="0.25">
      <c r="D212" s="290"/>
      <c r="E212" s="290"/>
    </row>
  </sheetData>
  <mergeCells count="10">
    <mergeCell ref="B7:G9"/>
    <mergeCell ref="O14:O15"/>
    <mergeCell ref="S14:S15"/>
    <mergeCell ref="M13:P13"/>
    <mergeCell ref="Q13:S13"/>
    <mergeCell ref="M14:M15"/>
    <mergeCell ref="N14:N15"/>
    <mergeCell ref="P14:P15"/>
    <mergeCell ref="Q14:Q15"/>
    <mergeCell ref="R14:R15"/>
  </mergeCells>
  <pageMargins left="0.70866141732283472" right="0.70866141732283472" top="0.74803149606299213" bottom="0.74803149606299213" header="0.31496062992125984" footer="0.31496062992125984"/>
  <pageSetup paperSize="9" scale="72" orientation="portrait" horizontalDpi="1200" verticalDpi="1200" r:id="rId1"/>
  <headerFooter>
    <oddFooter>&amp;C&amp;D
Page &amp;P</oddFooter>
  </headerFooter>
  <rowBreaks count="3" manualBreakCount="3">
    <brk id="69" max="7" man="1"/>
    <brk id="124" max="7" man="1"/>
    <brk id="170" max="7"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Y195"/>
  <sheetViews>
    <sheetView topLeftCell="A57" zoomScale="85" zoomScaleNormal="85" zoomScaleSheetLayoutView="55" workbookViewId="0">
      <selection activeCell="O51" sqref="O51"/>
    </sheetView>
  </sheetViews>
  <sheetFormatPr baseColWidth="10" defaultColWidth="11.42578125" defaultRowHeight="15" x14ac:dyDescent="0.25"/>
  <cols>
    <col min="2" max="2" width="13.7109375" customWidth="1"/>
    <col min="3" max="3" width="17.28515625" customWidth="1"/>
    <col min="4" max="4" width="30.28515625" customWidth="1"/>
    <col min="5" max="5" width="8.140625" style="13" customWidth="1"/>
    <col min="6" max="6" width="35.28515625" customWidth="1"/>
    <col min="7" max="7" width="10.140625" customWidth="1"/>
    <col min="8" max="8" width="4.85546875" customWidth="1"/>
    <col min="9" max="9" width="9.85546875" customWidth="1"/>
    <col min="10" max="10" width="10.5703125" customWidth="1"/>
    <col min="11" max="11" width="11.140625" customWidth="1"/>
    <col min="12" max="12" width="18.5703125" customWidth="1"/>
    <col min="13" max="13" width="9.7109375" customWidth="1"/>
    <col min="14" max="14" width="18.140625" customWidth="1"/>
    <col min="15" max="15" width="14.7109375" customWidth="1"/>
    <col min="16" max="16" width="9.140625" style="2" customWidth="1"/>
    <col min="17" max="17" width="26.140625" customWidth="1"/>
    <col min="18" max="18" width="10.28515625" customWidth="1"/>
    <col min="19" max="19" width="37" customWidth="1"/>
    <col min="22" max="22" width="41.5703125" customWidth="1"/>
  </cols>
  <sheetData>
    <row r="1" spans="4:18" x14ac:dyDescent="0.25">
      <c r="E1"/>
      <c r="P1"/>
    </row>
    <row r="2" spans="4:18" x14ac:dyDescent="0.25">
      <c r="E2"/>
      <c r="P2"/>
    </row>
    <row r="3" spans="4:18" ht="18.75" x14ac:dyDescent="0.25">
      <c r="E3"/>
      <c r="J3" s="247" t="s">
        <v>776</v>
      </c>
      <c r="P3"/>
    </row>
    <row r="4" spans="4:18" x14ac:dyDescent="0.25">
      <c r="E4"/>
      <c r="P4"/>
    </row>
    <row r="5" spans="4:18" ht="15.75" x14ac:dyDescent="0.25">
      <c r="J5" s="236" t="s">
        <v>774</v>
      </c>
      <c r="P5"/>
    </row>
    <row r="6" spans="4:18" ht="15.75" customHeight="1" x14ac:dyDescent="0.25">
      <c r="E6" s="294" t="s">
        <v>775</v>
      </c>
      <c r="F6" s="294"/>
      <c r="G6" s="294"/>
      <c r="H6" s="294"/>
      <c r="I6" s="294"/>
      <c r="J6" s="294"/>
      <c r="K6" s="294"/>
      <c r="L6" s="294"/>
      <c r="M6" s="294"/>
      <c r="N6" s="294"/>
      <c r="O6" s="294"/>
      <c r="P6" s="248"/>
      <c r="Q6" s="248"/>
      <c r="R6" s="248"/>
    </row>
    <row r="7" spans="4:18" x14ac:dyDescent="0.25">
      <c r="E7" s="294"/>
      <c r="F7" s="294"/>
      <c r="G7" s="294"/>
      <c r="H7" s="294"/>
      <c r="I7" s="294"/>
      <c r="J7" s="294"/>
      <c r="K7" s="294"/>
      <c r="L7" s="294"/>
      <c r="M7" s="294"/>
      <c r="N7" s="294"/>
      <c r="O7" s="294"/>
      <c r="P7" s="248"/>
      <c r="Q7" s="248"/>
      <c r="R7" s="248"/>
    </row>
    <row r="8" spans="4:18" x14ac:dyDescent="0.25">
      <c r="E8" s="294"/>
      <c r="F8" s="294"/>
      <c r="G8" s="294"/>
      <c r="H8" s="294"/>
      <c r="I8" s="294"/>
      <c r="J8" s="294"/>
      <c r="K8" s="294"/>
      <c r="L8" s="294"/>
      <c r="M8" s="294"/>
      <c r="N8" s="294"/>
      <c r="O8" s="294"/>
      <c r="P8" s="248"/>
      <c r="Q8" s="248"/>
      <c r="R8" s="248"/>
    </row>
    <row r="9" spans="4:18" ht="23.25" x14ac:dyDescent="0.3">
      <c r="E9"/>
      <c r="J9" s="263" t="s">
        <v>786</v>
      </c>
      <c r="N9" s="276"/>
      <c r="P9"/>
    </row>
    <row r="10" spans="4:18" x14ac:dyDescent="0.25">
      <c r="Q10" s="21"/>
      <c r="R10" s="102"/>
    </row>
    <row r="11" spans="4:18" x14ac:dyDescent="0.25">
      <c r="D11" s="21"/>
      <c r="E11" s="102"/>
      <c r="F11" s="109" t="s">
        <v>578</v>
      </c>
      <c r="G11" s="102"/>
      <c r="L11" s="21"/>
      <c r="M11" s="102"/>
      <c r="Q11" s="21"/>
      <c r="R11" s="102"/>
    </row>
    <row r="12" spans="4:18" ht="19.5" x14ac:dyDescent="0.3">
      <c r="D12" s="21"/>
      <c r="E12" s="52">
        <v>10.8</v>
      </c>
      <c r="F12" s="6" t="s">
        <v>579</v>
      </c>
      <c r="G12" s="102"/>
      <c r="L12" s="276" t="s">
        <v>788</v>
      </c>
      <c r="M12" s="278" t="str">
        <f>'Building &amp; Material inputs'!C15</f>
        <v xml:space="preserve"> Single-family house in concrete and bricks</v>
      </c>
      <c r="Q12" s="21"/>
      <c r="R12" s="102"/>
    </row>
    <row r="13" spans="4:18" x14ac:dyDescent="0.25">
      <c r="D13" s="21"/>
      <c r="E13" s="103">
        <v>23.87</v>
      </c>
      <c r="F13" s="6" t="s">
        <v>580</v>
      </c>
      <c r="G13" s="102"/>
      <c r="L13" s="21"/>
      <c r="M13" s="102"/>
      <c r="Q13" s="21"/>
      <c r="R13" s="102"/>
    </row>
    <row r="14" spans="4:18" x14ac:dyDescent="0.25">
      <c r="D14" s="21"/>
      <c r="E14" s="36">
        <f>30</f>
        <v>30</v>
      </c>
      <c r="F14" s="6" t="s">
        <v>581</v>
      </c>
    </row>
    <row r="15" spans="4:18" ht="15.75" thickBot="1" x14ac:dyDescent="0.3">
      <c r="D15" s="21"/>
      <c r="E15" s="38">
        <f>O31</f>
        <v>846.2639999999999</v>
      </c>
      <c r="F15" s="6" t="s">
        <v>582</v>
      </c>
    </row>
    <row r="16" spans="4:18" ht="15.75" thickBot="1" x14ac:dyDescent="0.3">
      <c r="D16" s="21"/>
      <c r="E16" s="79" t="s">
        <v>343</v>
      </c>
      <c r="F16" s="6" t="s">
        <v>597</v>
      </c>
    </row>
    <row r="17" spans="2:23" ht="15.75" thickBot="1" x14ac:dyDescent="0.3">
      <c r="D17" s="21"/>
      <c r="E17" s="249"/>
      <c r="F17" s="6"/>
    </row>
    <row r="18" spans="2:23" ht="15.75" thickBot="1" x14ac:dyDescent="0.3">
      <c r="E18" s="108"/>
      <c r="I18" s="339" t="s">
        <v>102</v>
      </c>
      <c r="J18" s="340"/>
      <c r="K18" s="335"/>
      <c r="L18" s="335"/>
      <c r="M18" s="335"/>
      <c r="N18" s="301"/>
    </row>
    <row r="19" spans="2:23" ht="15.75" thickBot="1" x14ac:dyDescent="0.3">
      <c r="H19" s="46" t="s">
        <v>408</v>
      </c>
      <c r="I19" s="46" t="s">
        <v>493</v>
      </c>
      <c r="J19" s="45" t="s">
        <v>494</v>
      </c>
      <c r="K19" s="335" t="s">
        <v>470</v>
      </c>
      <c r="L19" s="301"/>
      <c r="M19" s="300" t="s">
        <v>475</v>
      </c>
      <c r="N19" s="301"/>
      <c r="O19" s="300" t="s">
        <v>472</v>
      </c>
      <c r="P19" s="301"/>
    </row>
    <row r="20" spans="2:23" ht="15.75" thickBot="1" x14ac:dyDescent="0.3">
      <c r="B20" s="11" t="s">
        <v>17</v>
      </c>
      <c r="C20" s="300" t="s">
        <v>41</v>
      </c>
      <c r="D20" s="301"/>
      <c r="E20" s="16" t="s">
        <v>77</v>
      </c>
      <c r="F20" s="12" t="s">
        <v>43</v>
      </c>
      <c r="G20" s="11" t="s">
        <v>42</v>
      </c>
      <c r="H20" s="40" t="s">
        <v>496</v>
      </c>
      <c r="I20" s="40" t="s">
        <v>495</v>
      </c>
      <c r="J20" s="47" t="s">
        <v>469</v>
      </c>
      <c r="K20" s="44" t="s">
        <v>445</v>
      </c>
      <c r="L20" s="35" t="s">
        <v>471</v>
      </c>
      <c r="M20" s="12" t="s">
        <v>445</v>
      </c>
      <c r="N20" s="35" t="s">
        <v>471</v>
      </c>
      <c r="O20" s="133" t="s">
        <v>473</v>
      </c>
      <c r="P20" s="41" t="s">
        <v>474</v>
      </c>
      <c r="Q20" s="12" t="s">
        <v>53</v>
      </c>
    </row>
    <row r="21" spans="2:23" ht="8.25" customHeight="1" x14ac:dyDescent="0.25">
      <c r="C21" s="13"/>
      <c r="D21" s="13"/>
    </row>
    <row r="22" spans="2:23" x14ac:dyDescent="0.25">
      <c r="B22" s="330" t="s">
        <v>69</v>
      </c>
      <c r="C22" s="333" t="s">
        <v>74</v>
      </c>
      <c r="D22" s="333"/>
      <c r="E22" s="123" t="s">
        <v>78</v>
      </c>
      <c r="F22" s="115" t="s">
        <v>19</v>
      </c>
      <c r="G22" s="115" t="s">
        <v>240</v>
      </c>
      <c r="H22" s="237">
        <f>IF('Building &amp; Material inputs'!D73=1,1,0)</f>
        <v>0</v>
      </c>
      <c r="I22" s="115"/>
      <c r="J22" s="115"/>
      <c r="K22" s="117">
        <f>'Building &amp; Material inputs'!D33</f>
        <v>0</v>
      </c>
      <c r="L22" s="115" t="s">
        <v>521</v>
      </c>
      <c r="M22" s="115"/>
      <c r="N22" s="115"/>
      <c r="O22" s="122">
        <f>K22*H22</f>
        <v>0</v>
      </c>
      <c r="P22" s="120" t="s">
        <v>14</v>
      </c>
      <c r="Q22" s="115" t="s">
        <v>467</v>
      </c>
    </row>
    <row r="23" spans="2:23" x14ac:dyDescent="0.25">
      <c r="B23" s="331"/>
      <c r="C23" s="333"/>
      <c r="D23" s="333"/>
      <c r="E23" s="123" t="s">
        <v>80</v>
      </c>
      <c r="F23" s="115" t="s">
        <v>20</v>
      </c>
      <c r="G23" s="121" t="s">
        <v>443</v>
      </c>
      <c r="H23" s="237">
        <f>IF('Building &amp; Material inputs'!D73=1,1,0)</f>
        <v>0</v>
      </c>
      <c r="I23" s="115"/>
      <c r="J23" s="115"/>
      <c r="K23" s="116">
        <f>30</f>
        <v>30</v>
      </c>
      <c r="L23" s="115" t="s">
        <v>444</v>
      </c>
      <c r="M23" s="115"/>
      <c r="N23" s="115"/>
      <c r="O23" s="122">
        <f>K22*K23*H23</f>
        <v>0</v>
      </c>
      <c r="P23" s="120" t="s">
        <v>15</v>
      </c>
      <c r="Q23" s="115" t="s">
        <v>556</v>
      </c>
      <c r="S23" t="s">
        <v>49</v>
      </c>
    </row>
    <row r="24" spans="2:23" ht="15" customHeight="1" x14ac:dyDescent="0.25">
      <c r="B24" s="331"/>
      <c r="C24" s="330" t="s">
        <v>75</v>
      </c>
      <c r="D24" s="310" t="s">
        <v>76</v>
      </c>
      <c r="E24" s="123" t="s">
        <v>79</v>
      </c>
      <c r="F24" s="115" t="s">
        <v>19</v>
      </c>
      <c r="G24" s="115" t="s">
        <v>240</v>
      </c>
      <c r="H24" s="237">
        <f>IF('Building &amp; Material inputs'!D73=1,1,0)</f>
        <v>0</v>
      </c>
      <c r="I24" s="115"/>
      <c r="J24" s="115"/>
      <c r="K24" s="117">
        <f>'Building &amp; Material inputs'!D34</f>
        <v>0</v>
      </c>
      <c r="L24" s="115" t="s">
        <v>521</v>
      </c>
      <c r="M24" s="115"/>
      <c r="N24" s="115"/>
      <c r="O24" s="122">
        <f>K24*H24</f>
        <v>0</v>
      </c>
      <c r="P24" s="120" t="s">
        <v>14</v>
      </c>
      <c r="Q24" s="115" t="s">
        <v>467</v>
      </c>
      <c r="S24" s="316" t="s">
        <v>577</v>
      </c>
      <c r="T24" s="316"/>
      <c r="U24" s="316"/>
      <c r="V24" s="316"/>
      <c r="W24" s="316"/>
    </row>
    <row r="25" spans="2:23" x14ac:dyDescent="0.25">
      <c r="B25" s="331"/>
      <c r="C25" s="331"/>
      <c r="D25" s="311"/>
      <c r="E25" s="123" t="s">
        <v>81</v>
      </c>
      <c r="F25" s="115" t="s">
        <v>20</v>
      </c>
      <c r="G25" s="121" t="s">
        <v>443</v>
      </c>
      <c r="H25" s="237">
        <f>IF('Building &amp; Material inputs'!D73=1,1,0)</f>
        <v>0</v>
      </c>
      <c r="I25" s="115"/>
      <c r="J25" s="115"/>
      <c r="K25" s="116">
        <f>80</f>
        <v>80</v>
      </c>
      <c r="L25" s="115" t="s">
        <v>444</v>
      </c>
      <c r="M25" s="115"/>
      <c r="N25" s="115"/>
      <c r="O25" s="122">
        <f>K24*K25</f>
        <v>0</v>
      </c>
      <c r="P25" s="120" t="s">
        <v>15</v>
      </c>
      <c r="Q25" s="115" t="s">
        <v>464</v>
      </c>
      <c r="S25" s="316"/>
      <c r="T25" s="316"/>
      <c r="U25" s="316"/>
      <c r="V25" s="316"/>
      <c r="W25" s="316"/>
    </row>
    <row r="26" spans="2:23" x14ac:dyDescent="0.25">
      <c r="B26" s="331"/>
      <c r="C26" s="331"/>
      <c r="D26" s="312"/>
      <c r="E26" s="123" t="s">
        <v>446</v>
      </c>
      <c r="F26" s="115" t="s">
        <v>447</v>
      </c>
      <c r="G26" s="115" t="s">
        <v>449</v>
      </c>
      <c r="H26" s="237">
        <f>IF('Building &amp; Material inputs'!D73=1,1,0)</f>
        <v>0</v>
      </c>
      <c r="I26" s="135">
        <v>0.1</v>
      </c>
      <c r="J26" s="115"/>
      <c r="K26" s="117">
        <f>'Building &amp; Material inputs'!D35</f>
        <v>0</v>
      </c>
      <c r="L26" s="115" t="s">
        <v>457</v>
      </c>
      <c r="M26" s="115"/>
      <c r="N26" s="115"/>
      <c r="O26" s="122">
        <f>K26*I26*H26</f>
        <v>0</v>
      </c>
      <c r="P26" s="120" t="s">
        <v>14</v>
      </c>
      <c r="Q26" s="115" t="s">
        <v>463</v>
      </c>
      <c r="S26" s="316"/>
      <c r="T26" s="316"/>
      <c r="U26" s="316"/>
      <c r="V26" s="316"/>
      <c r="W26" s="316"/>
    </row>
    <row r="27" spans="2:23" x14ac:dyDescent="0.25">
      <c r="B27" s="331"/>
      <c r="C27" s="331"/>
      <c r="D27" s="313" t="s">
        <v>82</v>
      </c>
      <c r="E27" s="134" t="s">
        <v>109</v>
      </c>
      <c r="F27" s="94" t="s">
        <v>19</v>
      </c>
      <c r="G27" s="94" t="s">
        <v>240</v>
      </c>
      <c r="H27" s="106">
        <f>IF('Building &amp; Material inputs'!D73=2,1,0)</f>
        <v>1</v>
      </c>
      <c r="I27" s="7"/>
      <c r="J27" s="7"/>
      <c r="K27" s="103">
        <f>'Building &amp; Material inputs'!D29</f>
        <v>53.89</v>
      </c>
      <c r="L27" s="7" t="s">
        <v>520</v>
      </c>
      <c r="M27" s="7"/>
      <c r="N27" s="7"/>
      <c r="O27" s="87">
        <f>K27*H27</f>
        <v>53.89</v>
      </c>
      <c r="P27" s="42" t="s">
        <v>14</v>
      </c>
      <c r="Q27" s="7" t="s">
        <v>467</v>
      </c>
      <c r="S27" s="19"/>
      <c r="T27" s="19"/>
      <c r="U27" s="19"/>
      <c r="V27" s="19"/>
      <c r="W27" s="19"/>
    </row>
    <row r="28" spans="2:23" x14ac:dyDescent="0.25">
      <c r="B28" s="331"/>
      <c r="C28" s="331"/>
      <c r="D28" s="314"/>
      <c r="E28" s="134" t="s">
        <v>110</v>
      </c>
      <c r="F28" s="94" t="s">
        <v>20</v>
      </c>
      <c r="G28" s="124" t="s">
        <v>443</v>
      </c>
      <c r="H28" s="106">
        <f>IF('Building &amp; Material inputs'!D73=2,1,0)</f>
        <v>1</v>
      </c>
      <c r="I28" s="7"/>
      <c r="J28" s="7"/>
      <c r="K28" s="36">
        <f>63.3</f>
        <v>63.3</v>
      </c>
      <c r="L28" s="7" t="s">
        <v>444</v>
      </c>
      <c r="M28" s="7"/>
      <c r="N28" s="7"/>
      <c r="O28" s="38">
        <f>K28*K27</f>
        <v>3411.2370000000001</v>
      </c>
      <c r="P28" s="42" t="s">
        <v>15</v>
      </c>
      <c r="Q28" s="7" t="s">
        <v>464</v>
      </c>
    </row>
    <row r="29" spans="2:23" x14ac:dyDescent="0.25">
      <c r="B29" s="331"/>
      <c r="C29" s="331"/>
      <c r="D29" s="315"/>
      <c r="E29" s="134" t="s">
        <v>454</v>
      </c>
      <c r="F29" s="94" t="s">
        <v>447</v>
      </c>
      <c r="G29" s="94" t="s">
        <v>449</v>
      </c>
      <c r="H29" s="106">
        <f>IF('Building &amp; Material inputs'!D73=2,1,0)</f>
        <v>1</v>
      </c>
      <c r="I29" s="37">
        <v>0.1</v>
      </c>
      <c r="J29" s="7"/>
      <c r="K29" s="103">
        <f>'Building &amp; Material inputs'!D31</f>
        <v>73.81</v>
      </c>
      <c r="L29" s="7" t="s">
        <v>452</v>
      </c>
      <c r="M29" s="7"/>
      <c r="N29" s="7"/>
      <c r="O29" s="38">
        <f>K29*I29*H29</f>
        <v>7.3810000000000002</v>
      </c>
      <c r="P29" s="42" t="s">
        <v>14</v>
      </c>
      <c r="Q29" s="7" t="s">
        <v>463</v>
      </c>
    </row>
    <row r="30" spans="2:23" x14ac:dyDescent="0.25">
      <c r="B30" s="331"/>
      <c r="C30" s="331"/>
      <c r="D30" s="310" t="s">
        <v>83</v>
      </c>
      <c r="E30" s="123" t="s">
        <v>111</v>
      </c>
      <c r="F30" s="115" t="s">
        <v>19</v>
      </c>
      <c r="G30" s="115" t="s">
        <v>240</v>
      </c>
      <c r="H30" s="237">
        <f>IF(OR('Building &amp; Material inputs'!D73=1,'Building &amp; Material inputs'!D73=2),1,0)</f>
        <v>1</v>
      </c>
      <c r="I30" s="115"/>
      <c r="J30" s="115"/>
      <c r="K30" s="117">
        <f>'Building &amp; Material inputs'!D30</f>
        <v>9.5299999999999994</v>
      </c>
      <c r="L30" s="115" t="s">
        <v>522</v>
      </c>
      <c r="M30" s="115"/>
      <c r="N30" s="115"/>
      <c r="O30" s="122">
        <f>K30*H30</f>
        <v>9.5299999999999994</v>
      </c>
      <c r="P30" s="120" t="s">
        <v>14</v>
      </c>
      <c r="Q30" s="115" t="s">
        <v>467</v>
      </c>
    </row>
    <row r="31" spans="2:23" ht="15" customHeight="1" x14ac:dyDescent="0.25">
      <c r="B31" s="331"/>
      <c r="C31" s="331"/>
      <c r="D31" s="311"/>
      <c r="E31" s="123" t="s">
        <v>112</v>
      </c>
      <c r="F31" s="115" t="s">
        <v>20</v>
      </c>
      <c r="G31" s="121" t="s">
        <v>443</v>
      </c>
      <c r="H31" s="237">
        <f>IF(OR('Building &amp; Material inputs'!D73=1,'Building &amp; Material inputs'!D73=2),1,0)</f>
        <v>1</v>
      </c>
      <c r="I31" s="115"/>
      <c r="J31" s="115"/>
      <c r="K31" s="116">
        <f>88.8</f>
        <v>88.8</v>
      </c>
      <c r="L31" s="115" t="s">
        <v>444</v>
      </c>
      <c r="M31" s="115"/>
      <c r="N31" s="115"/>
      <c r="O31" s="122">
        <f>K30*K31*H31</f>
        <v>846.2639999999999</v>
      </c>
      <c r="P31" s="120" t="s">
        <v>15</v>
      </c>
      <c r="Q31" s="115" t="s">
        <v>556</v>
      </c>
      <c r="S31" s="316"/>
      <c r="T31" s="316"/>
      <c r="U31" s="316"/>
      <c r="V31" s="316"/>
      <c r="W31" s="316"/>
    </row>
    <row r="32" spans="2:23" ht="15" customHeight="1" x14ac:dyDescent="0.25">
      <c r="B32" s="331"/>
      <c r="C32" s="331"/>
      <c r="D32" s="312"/>
      <c r="E32" s="123" t="s">
        <v>455</v>
      </c>
      <c r="F32" s="115" t="s">
        <v>447</v>
      </c>
      <c r="G32" s="115" t="s">
        <v>449</v>
      </c>
      <c r="H32" s="237">
        <f>IF(OR('Building &amp; Material inputs'!D73=1,'Building &amp; Material inputs'!D73=2),1,0)</f>
        <v>1</v>
      </c>
      <c r="I32" s="135">
        <v>0.1</v>
      </c>
      <c r="J32" s="115"/>
      <c r="K32" s="117">
        <f>'Building &amp; Material inputs'!D32</f>
        <v>23.87</v>
      </c>
      <c r="L32" s="115" t="s">
        <v>458</v>
      </c>
      <c r="M32" s="115"/>
      <c r="N32" s="115"/>
      <c r="O32" s="122">
        <f>K32*I32*H32</f>
        <v>2.387</v>
      </c>
      <c r="P32" s="120" t="s">
        <v>14</v>
      </c>
      <c r="Q32" s="115" t="s">
        <v>463</v>
      </c>
      <c r="S32" s="316"/>
      <c r="T32" s="316"/>
      <c r="U32" s="316"/>
      <c r="V32" s="316"/>
      <c r="W32" s="316"/>
    </row>
    <row r="33" spans="2:23" x14ac:dyDescent="0.25">
      <c r="B33" s="331"/>
      <c r="C33" s="331"/>
      <c r="D33" s="330" t="s">
        <v>84</v>
      </c>
      <c r="E33" s="15" t="s">
        <v>113</v>
      </c>
      <c r="F33" s="7" t="s">
        <v>19</v>
      </c>
      <c r="G33" s="7" t="s">
        <v>240</v>
      </c>
      <c r="H33" s="106">
        <f>IF('Building &amp; Material inputs'!D73=3,1,0)</f>
        <v>0</v>
      </c>
      <c r="I33" s="7"/>
      <c r="J33" s="7"/>
      <c r="K33" s="103">
        <f>'Building &amp; Material inputs'!D36</f>
        <v>0</v>
      </c>
      <c r="L33" s="7" t="s">
        <v>523</v>
      </c>
      <c r="M33" s="7"/>
      <c r="N33" s="7"/>
      <c r="O33" s="38">
        <f>K33*H33</f>
        <v>0</v>
      </c>
      <c r="P33" s="42" t="s">
        <v>14</v>
      </c>
      <c r="Q33" s="7" t="s">
        <v>467</v>
      </c>
      <c r="S33" s="316"/>
      <c r="T33" s="316"/>
      <c r="U33" s="316"/>
      <c r="V33" s="316"/>
      <c r="W33" s="316"/>
    </row>
    <row r="34" spans="2:23" x14ac:dyDescent="0.25">
      <c r="B34" s="331"/>
      <c r="C34" s="331"/>
      <c r="D34" s="331"/>
      <c r="E34" s="15" t="s">
        <v>114</v>
      </c>
      <c r="F34" s="7" t="s">
        <v>20</v>
      </c>
      <c r="G34" s="22" t="s">
        <v>443</v>
      </c>
      <c r="H34" s="106">
        <f>IF('Building &amp; Material inputs'!D73=3,1,0)</f>
        <v>0</v>
      </c>
      <c r="I34" s="7"/>
      <c r="J34" s="7"/>
      <c r="K34" s="36">
        <v>75</v>
      </c>
      <c r="L34" s="7" t="s">
        <v>444</v>
      </c>
      <c r="M34" s="7"/>
      <c r="N34" s="7"/>
      <c r="O34" s="38">
        <f>K33*K34</f>
        <v>0</v>
      </c>
      <c r="P34" s="42" t="s">
        <v>15</v>
      </c>
      <c r="Q34" s="7"/>
      <c r="S34" s="316"/>
      <c r="T34" s="316"/>
      <c r="U34" s="316"/>
      <c r="V34" s="316"/>
      <c r="W34" s="316"/>
    </row>
    <row r="35" spans="2:23" x14ac:dyDescent="0.25">
      <c r="B35" s="331"/>
      <c r="C35" s="332"/>
      <c r="D35" s="332"/>
      <c r="E35" s="15" t="s">
        <v>456</v>
      </c>
      <c r="F35" s="7" t="s">
        <v>447</v>
      </c>
      <c r="G35" s="7" t="s">
        <v>449</v>
      </c>
      <c r="H35" s="106">
        <f>IF('Building &amp; Material inputs'!D73=3,1,0)</f>
        <v>0</v>
      </c>
      <c r="I35" s="37">
        <v>0.1</v>
      </c>
      <c r="J35" s="7"/>
      <c r="K35" s="103">
        <f>'Building &amp; Material inputs'!D37</f>
        <v>0</v>
      </c>
      <c r="L35" s="7" t="s">
        <v>459</v>
      </c>
      <c r="M35" s="7"/>
      <c r="N35" s="7"/>
      <c r="O35" s="38">
        <f>K35*I35</f>
        <v>0</v>
      </c>
      <c r="P35" s="42" t="s">
        <v>14</v>
      </c>
      <c r="Q35" s="7" t="s">
        <v>453</v>
      </c>
      <c r="S35" s="316"/>
      <c r="T35" s="316"/>
      <c r="U35" s="316"/>
      <c r="V35" s="316"/>
      <c r="W35" s="316"/>
    </row>
    <row r="36" spans="2:23" x14ac:dyDescent="0.25">
      <c r="B36" s="331"/>
      <c r="C36" s="334" t="s">
        <v>117</v>
      </c>
      <c r="D36" s="334"/>
      <c r="E36" s="15" t="s">
        <v>115</v>
      </c>
      <c r="F36" s="7" t="s">
        <v>19</v>
      </c>
      <c r="G36" s="7" t="s">
        <v>271</v>
      </c>
      <c r="H36" s="106">
        <v>1</v>
      </c>
      <c r="I36" s="7"/>
      <c r="J36" s="7"/>
      <c r="K36" s="103">
        <v>0</v>
      </c>
      <c r="L36" s="7" t="s">
        <v>524</v>
      </c>
      <c r="M36" s="7"/>
      <c r="N36" s="7"/>
      <c r="O36" s="38">
        <f>K36*H36</f>
        <v>0</v>
      </c>
      <c r="P36" s="42" t="s">
        <v>14</v>
      </c>
      <c r="Q36" s="7" t="s">
        <v>467</v>
      </c>
      <c r="S36" s="316"/>
      <c r="T36" s="316"/>
      <c r="U36" s="316"/>
      <c r="V36" s="316"/>
      <c r="W36" s="316"/>
    </row>
    <row r="37" spans="2:23" x14ac:dyDescent="0.25">
      <c r="B37" s="332"/>
      <c r="C37" s="334"/>
      <c r="D37" s="334"/>
      <c r="E37" s="15" t="s">
        <v>116</v>
      </c>
      <c r="F37" s="7" t="s">
        <v>20</v>
      </c>
      <c r="G37" s="22" t="s">
        <v>443</v>
      </c>
      <c r="H37" s="106">
        <v>1</v>
      </c>
      <c r="I37" s="7"/>
      <c r="J37" s="7"/>
      <c r="K37" s="36">
        <v>90</v>
      </c>
      <c r="L37" s="7" t="s">
        <v>444</v>
      </c>
      <c r="M37" s="7"/>
      <c r="N37" s="7"/>
      <c r="O37" s="38">
        <f>K36*K37*H37</f>
        <v>0</v>
      </c>
      <c r="P37" s="42" t="s">
        <v>15</v>
      </c>
      <c r="Q37" s="7" t="s">
        <v>464</v>
      </c>
      <c r="S37" s="316"/>
      <c r="T37" s="316"/>
      <c r="U37" s="316"/>
      <c r="V37" s="316"/>
      <c r="W37" s="316"/>
    </row>
    <row r="38" spans="2:23" x14ac:dyDescent="0.25">
      <c r="B38" s="327"/>
      <c r="C38" s="328"/>
      <c r="D38" s="329"/>
      <c r="E38" s="15"/>
      <c r="F38" s="7"/>
      <c r="G38" s="22"/>
      <c r="H38" s="106"/>
      <c r="I38" s="7"/>
      <c r="J38" s="7"/>
      <c r="K38" s="36"/>
      <c r="L38" s="7"/>
      <c r="M38" s="7"/>
      <c r="N38" s="7"/>
      <c r="O38" s="38"/>
      <c r="P38" s="42"/>
      <c r="Q38" s="7"/>
      <c r="S38" s="14"/>
      <c r="T38" s="14"/>
      <c r="U38" s="14"/>
      <c r="V38" s="14"/>
      <c r="W38" s="14"/>
    </row>
    <row r="39" spans="2:23" x14ac:dyDescent="0.25">
      <c r="B39" s="304" t="s">
        <v>70</v>
      </c>
      <c r="C39" s="304" t="s">
        <v>85</v>
      </c>
      <c r="D39" s="304" t="s">
        <v>626</v>
      </c>
      <c r="E39" s="112" t="s">
        <v>118</v>
      </c>
      <c r="F39" s="81" t="s">
        <v>56</v>
      </c>
      <c r="G39" s="66" t="s">
        <v>279</v>
      </c>
      <c r="H39" s="238">
        <f>IF('Building &amp; Material inputs'!D82=3,1,0)</f>
        <v>0</v>
      </c>
      <c r="I39" s="66"/>
      <c r="J39" s="66"/>
      <c r="K39" s="105">
        <f>'Building &amp; Material inputs'!D40</f>
        <v>19.68</v>
      </c>
      <c r="L39" s="66" t="s">
        <v>466</v>
      </c>
      <c r="M39" s="66"/>
      <c r="N39" s="66"/>
      <c r="O39" s="89">
        <f>K39*H39</f>
        <v>0</v>
      </c>
      <c r="P39" s="68" t="s">
        <v>14</v>
      </c>
      <c r="Q39" s="66" t="s">
        <v>467</v>
      </c>
      <c r="S39" s="14"/>
      <c r="T39" s="14"/>
      <c r="U39" s="14"/>
      <c r="V39" s="14"/>
      <c r="W39" s="14"/>
    </row>
    <row r="40" spans="2:23" x14ac:dyDescent="0.25">
      <c r="B40" s="305"/>
      <c r="C40" s="305"/>
      <c r="D40" s="305"/>
      <c r="E40" s="112" t="s">
        <v>119</v>
      </c>
      <c r="F40" s="66" t="s">
        <v>603</v>
      </c>
      <c r="G40" s="96" t="s">
        <v>380</v>
      </c>
      <c r="H40" s="238">
        <f>IF('Building &amp; Material inputs'!D82=3,1,0)</f>
        <v>0</v>
      </c>
      <c r="I40" s="66"/>
      <c r="J40" s="66"/>
      <c r="K40" s="67">
        <v>8</v>
      </c>
      <c r="L40" s="66" t="s">
        <v>599</v>
      </c>
      <c r="M40" s="66"/>
      <c r="N40" s="66"/>
      <c r="O40" s="89">
        <f>K40*H40*O39</f>
        <v>0</v>
      </c>
      <c r="P40" s="68" t="s">
        <v>15</v>
      </c>
      <c r="Q40" s="66" t="s">
        <v>486</v>
      </c>
      <c r="S40" s="14"/>
      <c r="T40" s="14"/>
      <c r="U40" s="14"/>
      <c r="V40" s="14"/>
      <c r="W40" s="14"/>
    </row>
    <row r="41" spans="2:23" ht="15" customHeight="1" x14ac:dyDescent="0.25">
      <c r="B41" s="305"/>
      <c r="C41" s="305"/>
      <c r="D41" s="305"/>
      <c r="E41" s="113" t="s">
        <v>120</v>
      </c>
      <c r="F41" s="60" t="s">
        <v>21</v>
      </c>
      <c r="G41" s="95" t="s">
        <v>381</v>
      </c>
      <c r="H41" s="239">
        <f>IF('Building &amp; Material inputs'!D82=2,1,0)</f>
        <v>0</v>
      </c>
      <c r="I41" s="60"/>
      <c r="J41" s="61">
        <v>7850</v>
      </c>
      <c r="K41" s="104">
        <f>K39</f>
        <v>19.68</v>
      </c>
      <c r="L41" s="60" t="s">
        <v>466</v>
      </c>
      <c r="M41" s="61">
        <v>1.1000000000000001</v>
      </c>
      <c r="N41" s="60" t="s">
        <v>601</v>
      </c>
      <c r="O41" s="85">
        <f>H41*J41*K41*M41</f>
        <v>0</v>
      </c>
      <c r="P41" s="62" t="s">
        <v>15</v>
      </c>
      <c r="Q41" s="60" t="s">
        <v>602</v>
      </c>
      <c r="T41" s="102"/>
    </row>
    <row r="42" spans="2:23" x14ac:dyDescent="0.25">
      <c r="B42" s="305"/>
      <c r="C42" s="305"/>
      <c r="D42" s="305"/>
      <c r="E42" s="123" t="s">
        <v>121</v>
      </c>
      <c r="F42" s="115" t="s">
        <v>19</v>
      </c>
      <c r="G42" s="115" t="s">
        <v>271</v>
      </c>
      <c r="H42" s="237">
        <f>IF('Building &amp; Material inputs'!D82=1,1,0)</f>
        <v>1</v>
      </c>
      <c r="I42" s="115"/>
      <c r="J42" s="115"/>
      <c r="K42" s="117">
        <f>K41</f>
        <v>19.68</v>
      </c>
      <c r="L42" s="115" t="s">
        <v>466</v>
      </c>
      <c r="M42" s="115"/>
      <c r="N42" s="115"/>
      <c r="O42" s="122">
        <f>K42*H42</f>
        <v>19.68</v>
      </c>
      <c r="P42" s="120" t="s">
        <v>14</v>
      </c>
      <c r="Q42" s="115" t="s">
        <v>467</v>
      </c>
    </row>
    <row r="43" spans="2:23" ht="15" customHeight="1" x14ac:dyDescent="0.25">
      <c r="B43" s="305"/>
      <c r="C43" s="305"/>
      <c r="D43" s="306"/>
      <c r="E43" s="123" t="s">
        <v>598</v>
      </c>
      <c r="F43" s="115" t="s">
        <v>20</v>
      </c>
      <c r="G43" s="121" t="s">
        <v>443</v>
      </c>
      <c r="H43" s="237">
        <f>IF('Building &amp; Material inputs'!D82=1,1,0)</f>
        <v>1</v>
      </c>
      <c r="I43" s="115"/>
      <c r="J43" s="115"/>
      <c r="K43" s="116">
        <v>137.6</v>
      </c>
      <c r="L43" s="115" t="s">
        <v>444</v>
      </c>
      <c r="M43" s="115"/>
      <c r="N43" s="115"/>
      <c r="O43" s="122">
        <f>O42*K43*H43</f>
        <v>2707.9679999999998</v>
      </c>
      <c r="P43" s="120" t="s">
        <v>15</v>
      </c>
      <c r="Q43" s="115" t="s">
        <v>465</v>
      </c>
      <c r="S43" s="316"/>
      <c r="T43" s="316"/>
      <c r="U43" s="316"/>
      <c r="V43" s="316"/>
      <c r="W43" s="316"/>
    </row>
    <row r="44" spans="2:23" ht="15" customHeight="1" x14ac:dyDescent="0.25">
      <c r="B44" s="305"/>
      <c r="C44" s="305"/>
      <c r="D44" s="304" t="s">
        <v>625</v>
      </c>
      <c r="E44" s="59" t="s">
        <v>122</v>
      </c>
      <c r="F44" s="82" t="s">
        <v>56</v>
      </c>
      <c r="G44" s="60" t="s">
        <v>279</v>
      </c>
      <c r="H44" s="239">
        <f>H39</f>
        <v>0</v>
      </c>
      <c r="I44" s="60"/>
      <c r="J44" s="60"/>
      <c r="K44" s="104">
        <f>'Building &amp; Material inputs'!D39</f>
        <v>10.89</v>
      </c>
      <c r="L44" s="60" t="s">
        <v>468</v>
      </c>
      <c r="M44" s="60"/>
      <c r="N44" s="60"/>
      <c r="O44" s="85">
        <f>K44*H44</f>
        <v>0</v>
      </c>
      <c r="P44" s="62" t="s">
        <v>14</v>
      </c>
      <c r="Q44" s="60" t="s">
        <v>467</v>
      </c>
      <c r="S44" s="316"/>
      <c r="T44" s="316"/>
      <c r="U44" s="316"/>
      <c r="V44" s="316"/>
      <c r="W44" s="316"/>
    </row>
    <row r="45" spans="2:23" ht="15" customHeight="1" x14ac:dyDescent="0.25">
      <c r="B45" s="305"/>
      <c r="C45" s="305"/>
      <c r="D45" s="305"/>
      <c r="E45" s="59" t="s">
        <v>123</v>
      </c>
      <c r="F45" s="60" t="s">
        <v>604</v>
      </c>
      <c r="G45" s="95" t="s">
        <v>380</v>
      </c>
      <c r="H45" s="239">
        <f>H40</f>
        <v>0</v>
      </c>
      <c r="I45" s="60"/>
      <c r="J45" s="60"/>
      <c r="K45" s="61">
        <v>8</v>
      </c>
      <c r="L45" s="60" t="s">
        <v>599</v>
      </c>
      <c r="M45" s="60"/>
      <c r="N45" s="60"/>
      <c r="O45" s="85">
        <f>K45*H45*O44</f>
        <v>0</v>
      </c>
      <c r="P45" s="62" t="s">
        <v>15</v>
      </c>
      <c r="Q45" s="60" t="s">
        <v>486</v>
      </c>
      <c r="S45" s="316"/>
      <c r="T45" s="316"/>
      <c r="U45" s="316"/>
      <c r="V45" s="316"/>
      <c r="W45" s="316"/>
    </row>
    <row r="46" spans="2:23" x14ac:dyDescent="0.25">
      <c r="B46" s="305"/>
      <c r="C46" s="305"/>
      <c r="D46" s="305"/>
      <c r="E46" s="65" t="s">
        <v>124</v>
      </c>
      <c r="F46" s="66" t="s">
        <v>21</v>
      </c>
      <c r="G46" s="96" t="s">
        <v>381</v>
      </c>
      <c r="H46" s="238">
        <f>H41</f>
        <v>0</v>
      </c>
      <c r="I46" s="66"/>
      <c r="J46" s="67">
        <v>7850</v>
      </c>
      <c r="K46" s="105">
        <f>K44</f>
        <v>10.89</v>
      </c>
      <c r="L46" s="60" t="s">
        <v>468</v>
      </c>
      <c r="M46" s="67">
        <v>1.1000000000000001</v>
      </c>
      <c r="N46" s="66" t="s">
        <v>601</v>
      </c>
      <c r="O46" s="89">
        <f>H46*J46*K46*M46</f>
        <v>0</v>
      </c>
      <c r="P46" s="68" t="s">
        <v>15</v>
      </c>
      <c r="Q46" s="66" t="s">
        <v>602</v>
      </c>
      <c r="S46" s="316"/>
      <c r="T46" s="316"/>
      <c r="U46" s="316"/>
      <c r="V46" s="316"/>
      <c r="W46" s="316"/>
    </row>
    <row r="47" spans="2:23" x14ac:dyDescent="0.25">
      <c r="B47" s="305"/>
      <c r="C47" s="305"/>
      <c r="D47" s="305"/>
      <c r="E47" s="114" t="s">
        <v>125</v>
      </c>
      <c r="F47" s="115" t="s">
        <v>19</v>
      </c>
      <c r="G47" s="115" t="s">
        <v>271</v>
      </c>
      <c r="H47" s="237">
        <f>H42</f>
        <v>1</v>
      </c>
      <c r="I47" s="115"/>
      <c r="J47" s="115"/>
      <c r="K47" s="117">
        <f>K46</f>
        <v>10.89</v>
      </c>
      <c r="L47" s="115" t="s">
        <v>468</v>
      </c>
      <c r="M47" s="115"/>
      <c r="N47" s="118"/>
      <c r="O47" s="119">
        <f>K47*H47</f>
        <v>10.89</v>
      </c>
      <c r="P47" s="120" t="s">
        <v>14</v>
      </c>
      <c r="Q47" s="115" t="s">
        <v>467</v>
      </c>
      <c r="S47" s="19"/>
      <c r="T47" s="19"/>
      <c r="U47" s="19"/>
      <c r="V47" s="19"/>
      <c r="W47" s="19"/>
    </row>
    <row r="48" spans="2:23" x14ac:dyDescent="0.25">
      <c r="B48" s="305"/>
      <c r="C48" s="305"/>
      <c r="D48" s="306"/>
      <c r="E48" s="114" t="s">
        <v>600</v>
      </c>
      <c r="F48" s="115" t="s">
        <v>20</v>
      </c>
      <c r="G48" s="121" t="s">
        <v>443</v>
      </c>
      <c r="H48" s="237">
        <f>H43</f>
        <v>1</v>
      </c>
      <c r="I48" s="115"/>
      <c r="J48" s="115"/>
      <c r="K48" s="116">
        <v>202.3</v>
      </c>
      <c r="L48" s="115" t="s">
        <v>444</v>
      </c>
      <c r="M48" s="115"/>
      <c r="N48" s="115"/>
      <c r="O48" s="122">
        <f>K47*K48*H48</f>
        <v>2203.047</v>
      </c>
      <c r="P48" s="120" t="s">
        <v>15</v>
      </c>
      <c r="Q48" s="115"/>
      <c r="S48" s="19"/>
      <c r="T48" s="19"/>
      <c r="U48" s="19"/>
      <c r="V48" s="19"/>
      <c r="W48" s="19"/>
    </row>
    <row r="49" spans="2:23" x14ac:dyDescent="0.25">
      <c r="B49" s="305"/>
      <c r="C49" s="305"/>
      <c r="D49" s="307" t="s">
        <v>460</v>
      </c>
      <c r="E49" s="59" t="s">
        <v>126</v>
      </c>
      <c r="F49" s="60" t="s">
        <v>19</v>
      </c>
      <c r="G49" s="60" t="s">
        <v>268</v>
      </c>
      <c r="H49" s="239">
        <f>IF('Building &amp; Material inputs'!D90=1,1,0)</f>
        <v>1</v>
      </c>
      <c r="I49" s="63">
        <v>0.25</v>
      </c>
      <c r="J49" s="60"/>
      <c r="K49" s="104">
        <f>'Building &amp; Material inputs'!D42-'Building &amp; Material inputs'!D40/I49</f>
        <v>272.40999999999997</v>
      </c>
      <c r="L49" s="60" t="s">
        <v>459</v>
      </c>
      <c r="M49" s="60"/>
      <c r="N49" s="60"/>
      <c r="O49" s="85">
        <f>K49*I49*H49</f>
        <v>68.102499999999992</v>
      </c>
      <c r="P49" s="62" t="s">
        <v>14</v>
      </c>
      <c r="Q49" s="60" t="s">
        <v>463</v>
      </c>
      <c r="S49" s="19"/>
      <c r="T49" s="19"/>
      <c r="U49" s="19"/>
      <c r="V49" s="19"/>
      <c r="W49" s="19"/>
    </row>
    <row r="50" spans="2:23" x14ac:dyDescent="0.25">
      <c r="B50" s="305"/>
      <c r="C50" s="305"/>
      <c r="D50" s="308"/>
      <c r="E50" s="59" t="s">
        <v>127</v>
      </c>
      <c r="F50" s="60" t="s">
        <v>20</v>
      </c>
      <c r="G50" s="95" t="s">
        <v>443</v>
      </c>
      <c r="H50" s="239">
        <f>H49</f>
        <v>1</v>
      </c>
      <c r="I50" s="60"/>
      <c r="J50" s="60"/>
      <c r="K50" s="61">
        <v>90</v>
      </c>
      <c r="L50" s="60" t="s">
        <v>444</v>
      </c>
      <c r="M50" s="60"/>
      <c r="N50" s="60"/>
      <c r="O50" s="85">
        <f>O49*K50*H50</f>
        <v>6129.2249999999995</v>
      </c>
      <c r="P50" s="62" t="s">
        <v>15</v>
      </c>
      <c r="Q50" s="60"/>
    </row>
    <row r="51" spans="2:23" x14ac:dyDescent="0.25">
      <c r="B51" s="305"/>
      <c r="C51" s="305"/>
      <c r="D51" s="303" t="s">
        <v>461</v>
      </c>
      <c r="E51" s="65" t="s">
        <v>128</v>
      </c>
      <c r="F51" s="66" t="s">
        <v>19</v>
      </c>
      <c r="G51" s="66" t="s">
        <v>268</v>
      </c>
      <c r="H51" s="238">
        <f>IF('Building &amp; Material inputs'!D90=2,1,0)</f>
        <v>0</v>
      </c>
      <c r="I51" s="70">
        <v>0.16</v>
      </c>
      <c r="J51" s="66"/>
      <c r="K51" s="105">
        <f>'Building &amp; Material inputs'!D42</f>
        <v>351.13</v>
      </c>
      <c r="L51" s="66" t="s">
        <v>459</v>
      </c>
      <c r="M51" s="66"/>
      <c r="N51" s="66"/>
      <c r="O51" s="89">
        <f>K51*I51*H51</f>
        <v>0</v>
      </c>
      <c r="P51" s="68" t="s">
        <v>14</v>
      </c>
      <c r="Q51" s="66" t="s">
        <v>463</v>
      </c>
    </row>
    <row r="52" spans="2:23" x14ac:dyDescent="0.25">
      <c r="B52" s="305"/>
      <c r="C52" s="305"/>
      <c r="D52" s="303"/>
      <c r="E52" s="65" t="s">
        <v>129</v>
      </c>
      <c r="F52" s="66" t="s">
        <v>20</v>
      </c>
      <c r="G52" s="96" t="s">
        <v>443</v>
      </c>
      <c r="H52" s="238">
        <f>IF('Building &amp; Material inputs'!D90=2,1,0)</f>
        <v>0</v>
      </c>
      <c r="I52" s="66"/>
      <c r="J52" s="66"/>
      <c r="K52" s="67">
        <v>25</v>
      </c>
      <c r="L52" s="66" t="s">
        <v>444</v>
      </c>
      <c r="M52" s="66"/>
      <c r="N52" s="66"/>
      <c r="O52" s="89">
        <f>O51*K52*H52</f>
        <v>0</v>
      </c>
      <c r="P52" s="68" t="s">
        <v>15</v>
      </c>
      <c r="Q52" s="66" t="s">
        <v>465</v>
      </c>
    </row>
    <row r="53" spans="2:23" x14ac:dyDescent="0.25">
      <c r="B53" s="305"/>
      <c r="C53" s="305"/>
      <c r="D53" s="303"/>
      <c r="E53" s="65" t="s">
        <v>130</v>
      </c>
      <c r="F53" s="66" t="s">
        <v>50</v>
      </c>
      <c r="G53" s="66" t="s">
        <v>380</v>
      </c>
      <c r="H53" s="238">
        <f>H51</f>
        <v>0</v>
      </c>
      <c r="I53" s="74">
        <v>1E-3</v>
      </c>
      <c r="J53" s="67">
        <v>7850</v>
      </c>
      <c r="K53" s="105">
        <f>K51</f>
        <v>351.13</v>
      </c>
      <c r="L53" s="66" t="s">
        <v>459</v>
      </c>
      <c r="M53" s="74">
        <v>1.2</v>
      </c>
      <c r="N53" s="66" t="s">
        <v>479</v>
      </c>
      <c r="O53" s="89">
        <f>M53*H53*I53*J53*K53</f>
        <v>0</v>
      </c>
      <c r="P53" s="68" t="s">
        <v>15</v>
      </c>
      <c r="Q53" s="66" t="s">
        <v>478</v>
      </c>
    </row>
    <row r="54" spans="2:23" x14ac:dyDescent="0.25">
      <c r="B54" s="305"/>
      <c r="C54" s="305"/>
      <c r="D54" s="307" t="s">
        <v>462</v>
      </c>
      <c r="E54" s="59" t="s">
        <v>131</v>
      </c>
      <c r="F54" s="60" t="s">
        <v>313</v>
      </c>
      <c r="G54" s="60" t="s">
        <v>289</v>
      </c>
      <c r="H54" s="239">
        <f>IF(AND('Building &amp; Material inputs'!D90=3,'Building &amp; Material inputs'!D100=1),1,0)</f>
        <v>0</v>
      </c>
      <c r="I54" s="63">
        <v>0.25</v>
      </c>
      <c r="J54" s="60"/>
      <c r="K54" s="104">
        <f>K53-'Building &amp; Material inputs'!D40/I54</f>
        <v>272.40999999999997</v>
      </c>
      <c r="L54" s="60" t="s">
        <v>459</v>
      </c>
      <c r="M54" s="64">
        <v>0.82</v>
      </c>
      <c r="N54" s="60" t="s">
        <v>476</v>
      </c>
      <c r="O54" s="85">
        <f>H54*I54*K54*M54</f>
        <v>0</v>
      </c>
      <c r="P54" s="62" t="s">
        <v>14</v>
      </c>
      <c r="Q54" s="60" t="s">
        <v>477</v>
      </c>
    </row>
    <row r="55" spans="2:23" ht="15" customHeight="1" x14ac:dyDescent="0.25">
      <c r="B55" s="305"/>
      <c r="C55" s="305"/>
      <c r="D55" s="309"/>
      <c r="E55" s="59" t="s">
        <v>132</v>
      </c>
      <c r="F55" s="60" t="s">
        <v>312</v>
      </c>
      <c r="G55" s="60" t="s">
        <v>290</v>
      </c>
      <c r="H55" s="239">
        <f>IF(AND('Building &amp; Material inputs'!D90=3,'Building &amp; Material inputs'!D100=2),1,0)</f>
        <v>0</v>
      </c>
      <c r="I55" s="63">
        <v>0.25</v>
      </c>
      <c r="J55" s="97">
        <v>320</v>
      </c>
      <c r="K55" s="104">
        <f>K54</f>
        <v>272.40999999999997</v>
      </c>
      <c r="L55" s="60" t="s">
        <v>459</v>
      </c>
      <c r="M55" s="64">
        <v>0.82</v>
      </c>
      <c r="N55" s="60" t="s">
        <v>476</v>
      </c>
      <c r="O55" s="85">
        <f>H55*I55*K55*M55*J55</f>
        <v>0</v>
      </c>
      <c r="P55" s="62" t="s">
        <v>15</v>
      </c>
      <c r="Q55" s="60" t="s">
        <v>478</v>
      </c>
    </row>
    <row r="56" spans="2:23" x14ac:dyDescent="0.25">
      <c r="B56" s="305"/>
      <c r="C56" s="305"/>
      <c r="D56" s="309"/>
      <c r="E56" s="59" t="s">
        <v>133</v>
      </c>
      <c r="F56" s="60" t="s">
        <v>51</v>
      </c>
      <c r="G56" s="60" t="s">
        <v>295</v>
      </c>
      <c r="H56" s="239">
        <f>IF('Building &amp; Material inputs'!D90=3,1,0)</f>
        <v>0</v>
      </c>
      <c r="I56" s="63"/>
      <c r="J56" s="61">
        <v>2500</v>
      </c>
      <c r="K56" s="104">
        <f>K55</f>
        <v>272.40999999999997</v>
      </c>
      <c r="L56" s="60" t="s">
        <v>459</v>
      </c>
      <c r="M56" s="64">
        <f>0.15*0.25</f>
        <v>3.7499999999999999E-2</v>
      </c>
      <c r="N56" s="60" t="s">
        <v>480</v>
      </c>
      <c r="O56" s="85">
        <f>H56*K56*M56*J56/0.8</f>
        <v>0</v>
      </c>
      <c r="P56" s="62" t="s">
        <v>15</v>
      </c>
      <c r="Q56" s="60" t="s">
        <v>481</v>
      </c>
    </row>
    <row r="57" spans="2:23" x14ac:dyDescent="0.25">
      <c r="B57" s="305"/>
      <c r="C57" s="305"/>
      <c r="D57" s="309"/>
      <c r="E57" s="59" t="s">
        <v>134</v>
      </c>
      <c r="F57" s="60" t="s">
        <v>294</v>
      </c>
      <c r="G57" s="60" t="s">
        <v>268</v>
      </c>
      <c r="H57" s="239">
        <f>IF('Building &amp; Material inputs'!D90=3,1,0)</f>
        <v>0</v>
      </c>
      <c r="I57" s="63">
        <v>0.05</v>
      </c>
      <c r="J57" s="60"/>
      <c r="K57" s="104">
        <f>K56</f>
        <v>272.40999999999997</v>
      </c>
      <c r="L57" s="60" t="s">
        <v>459</v>
      </c>
      <c r="M57" s="60"/>
      <c r="N57" s="60"/>
      <c r="O57" s="85">
        <f>H57*K57*I57</f>
        <v>0</v>
      </c>
      <c r="P57" s="62" t="s">
        <v>14</v>
      </c>
      <c r="Q57" s="60" t="s">
        <v>482</v>
      </c>
    </row>
    <row r="58" spans="2:23" x14ac:dyDescent="0.25">
      <c r="B58" s="305"/>
      <c r="C58" s="305"/>
      <c r="D58" s="308"/>
      <c r="E58" s="59" t="s">
        <v>311</v>
      </c>
      <c r="F58" s="60" t="s">
        <v>20</v>
      </c>
      <c r="G58" s="95" t="s">
        <v>443</v>
      </c>
      <c r="H58" s="239">
        <f>H57</f>
        <v>0</v>
      </c>
      <c r="I58" s="60"/>
      <c r="J58" s="60"/>
      <c r="K58" s="61">
        <v>25</v>
      </c>
      <c r="L58" s="60" t="s">
        <v>444</v>
      </c>
      <c r="M58" s="60"/>
      <c r="N58" s="60"/>
      <c r="O58" s="85">
        <f>O57*K58*H58</f>
        <v>0</v>
      </c>
      <c r="P58" s="62" t="s">
        <v>15</v>
      </c>
      <c r="Q58" s="60" t="s">
        <v>465</v>
      </c>
    </row>
    <row r="59" spans="2:23" x14ac:dyDescent="0.25">
      <c r="B59" s="305"/>
      <c r="C59" s="305"/>
      <c r="D59" s="324" t="s">
        <v>89</v>
      </c>
      <c r="E59" s="65" t="s">
        <v>135</v>
      </c>
      <c r="F59" s="66" t="s">
        <v>62</v>
      </c>
      <c r="G59" s="96" t="s">
        <v>301</v>
      </c>
      <c r="H59" s="238">
        <f>IF('Building &amp; Material inputs'!D90=4,1,0)</f>
        <v>0</v>
      </c>
      <c r="I59" s="70">
        <v>0.16</v>
      </c>
      <c r="J59" s="66"/>
      <c r="K59" s="105">
        <f>K51</f>
        <v>351.13</v>
      </c>
      <c r="L59" s="66" t="s">
        <v>483</v>
      </c>
      <c r="M59" s="66"/>
      <c r="N59" s="66"/>
      <c r="O59" s="89">
        <f>K59*I59*H59</f>
        <v>0</v>
      </c>
      <c r="P59" s="68" t="s">
        <v>14</v>
      </c>
      <c r="Q59" s="66" t="s">
        <v>482</v>
      </c>
    </row>
    <row r="60" spans="2:23" x14ac:dyDescent="0.25">
      <c r="B60" s="305"/>
      <c r="C60" s="306"/>
      <c r="D60" s="325"/>
      <c r="E60" s="65" t="s">
        <v>136</v>
      </c>
      <c r="F60" s="66" t="s">
        <v>604</v>
      </c>
      <c r="G60" s="96" t="s">
        <v>380</v>
      </c>
      <c r="H60" s="238">
        <f>IF('Building &amp; Material inputs'!D90=4,1,0)</f>
        <v>0</v>
      </c>
      <c r="I60" s="66"/>
      <c r="J60" s="66"/>
      <c r="K60" s="67">
        <v>4</v>
      </c>
      <c r="L60" s="66" t="s">
        <v>485</v>
      </c>
      <c r="M60" s="66"/>
      <c r="N60" s="66"/>
      <c r="O60" s="89">
        <f>K60*H60*O59</f>
        <v>0</v>
      </c>
      <c r="P60" s="68" t="s">
        <v>15</v>
      </c>
      <c r="Q60" s="66" t="s">
        <v>486</v>
      </c>
    </row>
    <row r="61" spans="2:23" ht="15" customHeight="1" x14ac:dyDescent="0.25">
      <c r="B61" s="305"/>
      <c r="C61" s="318" t="s">
        <v>628</v>
      </c>
      <c r="D61" s="319"/>
      <c r="E61" s="8" t="s">
        <v>137</v>
      </c>
      <c r="F61" s="7" t="s">
        <v>21</v>
      </c>
      <c r="G61" s="124" t="s">
        <v>381</v>
      </c>
      <c r="H61" s="240">
        <f>IF('Building &amp; Material inputs'!D109=2,1,0)</f>
        <v>0</v>
      </c>
      <c r="I61" s="94"/>
      <c r="J61" s="125">
        <v>7850</v>
      </c>
      <c r="K61" s="126">
        <f>'Building &amp; Material inputs'!D48</f>
        <v>0</v>
      </c>
      <c r="L61" s="94" t="s">
        <v>630</v>
      </c>
      <c r="M61" s="125">
        <v>1.1000000000000001</v>
      </c>
      <c r="N61" s="94" t="s">
        <v>601</v>
      </c>
      <c r="O61" s="92">
        <f>H61*J61*K61*M61</f>
        <v>0</v>
      </c>
      <c r="P61" s="93" t="s">
        <v>15</v>
      </c>
      <c r="Q61" s="94" t="s">
        <v>602</v>
      </c>
    </row>
    <row r="62" spans="2:23" x14ac:dyDescent="0.25">
      <c r="B62" s="305"/>
      <c r="C62" s="320"/>
      <c r="D62" s="321"/>
      <c r="E62" s="8" t="s">
        <v>138</v>
      </c>
      <c r="F62" s="7" t="s">
        <v>19</v>
      </c>
      <c r="G62" s="7" t="s">
        <v>271</v>
      </c>
      <c r="H62" s="106">
        <f>IF('Building &amp; Material inputs'!D109=1,1,0)</f>
        <v>0</v>
      </c>
      <c r="I62" s="7"/>
      <c r="J62" s="7"/>
      <c r="K62" s="103">
        <f>'Building &amp; Material inputs'!D49</f>
        <v>0</v>
      </c>
      <c r="L62" s="7" t="s">
        <v>629</v>
      </c>
      <c r="M62" s="7"/>
      <c r="N62" s="7"/>
      <c r="O62" s="38">
        <f>H62*K62</f>
        <v>0</v>
      </c>
      <c r="P62" s="42" t="s">
        <v>14</v>
      </c>
      <c r="Q62" s="7" t="s">
        <v>467</v>
      </c>
    </row>
    <row r="63" spans="2:23" x14ac:dyDescent="0.25">
      <c r="B63" s="306"/>
      <c r="C63" s="322"/>
      <c r="D63" s="323"/>
      <c r="E63" s="8" t="s">
        <v>139</v>
      </c>
      <c r="F63" s="7" t="s">
        <v>22</v>
      </c>
      <c r="G63" s="22" t="s">
        <v>443</v>
      </c>
      <c r="H63" s="106">
        <f>H62</f>
        <v>0</v>
      </c>
      <c r="I63" s="7"/>
      <c r="J63" s="7"/>
      <c r="K63" s="36">
        <v>140</v>
      </c>
      <c r="L63" s="7" t="s">
        <v>444</v>
      </c>
      <c r="M63" s="7"/>
      <c r="N63" s="7"/>
      <c r="O63" s="38">
        <f>K63*O62*H63</f>
        <v>0</v>
      </c>
      <c r="P63" s="42" t="s">
        <v>15</v>
      </c>
      <c r="Q63" s="7" t="s">
        <v>464</v>
      </c>
    </row>
    <row r="64" spans="2:23" x14ac:dyDescent="0.25">
      <c r="B64" s="318"/>
      <c r="C64" s="326"/>
      <c r="D64" s="319"/>
      <c r="E64" s="27"/>
      <c r="F64" s="51"/>
      <c r="G64" s="53"/>
      <c r="H64" s="241"/>
      <c r="I64" s="51"/>
      <c r="J64" s="51"/>
      <c r="K64" s="54"/>
      <c r="L64" s="51"/>
      <c r="M64" s="51"/>
      <c r="N64" s="51"/>
      <c r="O64" s="88"/>
      <c r="P64" s="55"/>
      <c r="Q64" s="51"/>
    </row>
    <row r="65" spans="2:22" ht="15" customHeight="1" x14ac:dyDescent="0.25">
      <c r="B65" s="302" t="s">
        <v>71</v>
      </c>
      <c r="C65" s="302" t="s">
        <v>90</v>
      </c>
      <c r="D65" s="302" t="s">
        <v>93</v>
      </c>
      <c r="E65" s="8" t="s">
        <v>140</v>
      </c>
      <c r="F65" s="7" t="s">
        <v>19</v>
      </c>
      <c r="G65" s="7" t="s">
        <v>240</v>
      </c>
      <c r="H65" s="106">
        <v>1</v>
      </c>
      <c r="I65" s="37">
        <v>0.15</v>
      </c>
      <c r="J65" s="7"/>
      <c r="K65" s="106">
        <f>'Building &amp; Material inputs'!E65</f>
        <v>196.89</v>
      </c>
      <c r="L65" s="7" t="s">
        <v>459</v>
      </c>
      <c r="M65" s="7"/>
      <c r="N65" s="7"/>
      <c r="O65" s="38">
        <f>K65*I65*H65</f>
        <v>29.533499999999997</v>
      </c>
      <c r="P65" s="42" t="s">
        <v>14</v>
      </c>
      <c r="Q65" s="7" t="s">
        <v>482</v>
      </c>
    </row>
    <row r="66" spans="2:22" ht="15" customHeight="1" x14ac:dyDescent="0.25">
      <c r="B66" s="302"/>
      <c r="C66" s="302"/>
      <c r="D66" s="302"/>
      <c r="E66" s="8" t="s">
        <v>141</v>
      </c>
      <c r="F66" s="7" t="s">
        <v>22</v>
      </c>
      <c r="G66" s="22" t="s">
        <v>443</v>
      </c>
      <c r="H66" s="106">
        <v>1</v>
      </c>
      <c r="I66" s="7"/>
      <c r="J66" s="7"/>
      <c r="K66" s="36">
        <v>30</v>
      </c>
      <c r="L66" s="7" t="s">
        <v>444</v>
      </c>
      <c r="M66" s="7"/>
      <c r="N66" s="7"/>
      <c r="O66" s="38">
        <f>H66*O65*K66</f>
        <v>886.00499999999988</v>
      </c>
      <c r="P66" s="42" t="s">
        <v>15</v>
      </c>
      <c r="Q66" s="7" t="s">
        <v>464</v>
      </c>
    </row>
    <row r="67" spans="2:22" ht="15" customHeight="1" x14ac:dyDescent="0.25">
      <c r="B67" s="302"/>
      <c r="C67" s="302"/>
      <c r="D67" s="302"/>
      <c r="E67" s="8" t="s">
        <v>142</v>
      </c>
      <c r="F67" s="7" t="s">
        <v>64</v>
      </c>
      <c r="G67" s="7" t="s">
        <v>309</v>
      </c>
      <c r="H67" s="106">
        <v>1</v>
      </c>
      <c r="I67" s="37">
        <v>0.25</v>
      </c>
      <c r="J67" s="43">
        <v>1800</v>
      </c>
      <c r="K67" s="103">
        <f>K65</f>
        <v>196.89</v>
      </c>
      <c r="L67" s="7" t="s">
        <v>459</v>
      </c>
      <c r="M67" s="7"/>
      <c r="N67" s="7"/>
      <c r="O67" s="38">
        <f>H67*I67*J67*K67</f>
        <v>88600.5</v>
      </c>
      <c r="P67" s="42" t="s">
        <v>15</v>
      </c>
      <c r="Q67" s="7" t="s">
        <v>487</v>
      </c>
    </row>
    <row r="68" spans="2:22" ht="15" customHeight="1" x14ac:dyDescent="0.25">
      <c r="B68" s="302"/>
      <c r="C68" s="302"/>
      <c r="D68" s="299" t="s">
        <v>489</v>
      </c>
      <c r="E68" s="59" t="s">
        <v>143</v>
      </c>
      <c r="F68" s="60" t="s">
        <v>65</v>
      </c>
      <c r="G68" s="60" t="s">
        <v>331</v>
      </c>
      <c r="H68" s="239">
        <f>IF('Building &amp; Material inputs'!D117=1,1,0)</f>
        <v>1</v>
      </c>
      <c r="I68" s="60"/>
      <c r="J68" s="60"/>
      <c r="K68" s="104">
        <f>'Building &amp; Material inputs'!C65+'Building &amp; Material inputs'!C66</f>
        <v>257.52</v>
      </c>
      <c r="L68" s="60" t="s">
        <v>488</v>
      </c>
      <c r="M68" s="60"/>
      <c r="N68" s="60"/>
      <c r="O68" s="84">
        <f>K68*H68</f>
        <v>257.52</v>
      </c>
      <c r="P68" s="62" t="s">
        <v>332</v>
      </c>
      <c r="Q68" s="60" t="s">
        <v>467</v>
      </c>
    </row>
    <row r="69" spans="2:22" ht="15" customHeight="1" x14ac:dyDescent="0.25">
      <c r="B69" s="302"/>
      <c r="C69" s="302"/>
      <c r="D69" s="299"/>
      <c r="E69" s="59" t="s">
        <v>144</v>
      </c>
      <c r="F69" s="60" t="s">
        <v>66</v>
      </c>
      <c r="G69" s="60" t="s">
        <v>322</v>
      </c>
      <c r="H69" s="239">
        <f>H68</f>
        <v>1</v>
      </c>
      <c r="I69" s="60"/>
      <c r="J69" s="60"/>
      <c r="K69" s="104">
        <f>K68</f>
        <v>257.52</v>
      </c>
      <c r="L69" s="60" t="s">
        <v>488</v>
      </c>
      <c r="M69" s="63">
        <v>6</v>
      </c>
      <c r="N69" s="60" t="s">
        <v>491</v>
      </c>
      <c r="O69" s="85">
        <f>M69*K69</f>
        <v>1545.12</v>
      </c>
      <c r="P69" s="62" t="s">
        <v>15</v>
      </c>
      <c r="Q69" s="60" t="s">
        <v>492</v>
      </c>
    </row>
    <row r="70" spans="2:22" ht="15" customHeight="1" x14ac:dyDescent="0.25">
      <c r="B70" s="302"/>
      <c r="C70" s="302"/>
      <c r="D70" s="299"/>
      <c r="E70" s="59" t="s">
        <v>145</v>
      </c>
      <c r="F70" s="60" t="s">
        <v>324</v>
      </c>
      <c r="G70" s="60" t="s">
        <v>533</v>
      </c>
      <c r="H70" s="239">
        <f>H68</f>
        <v>1</v>
      </c>
      <c r="I70" s="63">
        <v>0.03</v>
      </c>
      <c r="J70" s="97">
        <v>1600</v>
      </c>
      <c r="K70" s="104">
        <f>K69</f>
        <v>257.52</v>
      </c>
      <c r="L70" s="60" t="s">
        <v>488</v>
      </c>
      <c r="M70" s="60"/>
      <c r="N70" s="60"/>
      <c r="O70" s="85">
        <f>K70*I70*J70*H70</f>
        <v>12360.96</v>
      </c>
      <c r="P70" s="62" t="s">
        <v>15</v>
      </c>
      <c r="Q70" s="60" t="s">
        <v>530</v>
      </c>
      <c r="S70" t="s">
        <v>532</v>
      </c>
    </row>
    <row r="71" spans="2:22" ht="15" customHeight="1" x14ac:dyDescent="0.25">
      <c r="B71" s="302"/>
      <c r="C71" s="302"/>
      <c r="D71" s="299"/>
      <c r="E71" s="59" t="s">
        <v>146</v>
      </c>
      <c r="F71" s="60" t="s">
        <v>67</v>
      </c>
      <c r="G71" s="60" t="s">
        <v>329</v>
      </c>
      <c r="H71" s="239">
        <f>H68</f>
        <v>1</v>
      </c>
      <c r="I71" s="64">
        <v>5.0000000000000001E-3</v>
      </c>
      <c r="J71" s="60"/>
      <c r="K71" s="104">
        <f>K70</f>
        <v>257.52</v>
      </c>
      <c r="L71" s="60" t="s">
        <v>488</v>
      </c>
      <c r="M71" s="60"/>
      <c r="N71" s="60"/>
      <c r="O71" s="85">
        <f>K71*I71*H71</f>
        <v>1.2875999999999999</v>
      </c>
      <c r="P71" s="62" t="s">
        <v>14</v>
      </c>
      <c r="Q71" s="60" t="s">
        <v>463</v>
      </c>
    </row>
    <row r="72" spans="2:22" ht="15" customHeight="1" x14ac:dyDescent="0.25">
      <c r="B72" s="302"/>
      <c r="C72" s="302"/>
      <c r="D72" s="303" t="s">
        <v>490</v>
      </c>
      <c r="E72" s="65" t="s">
        <v>147</v>
      </c>
      <c r="F72" s="66" t="s">
        <v>94</v>
      </c>
      <c r="G72" s="66" t="s">
        <v>335</v>
      </c>
      <c r="H72" s="238">
        <f>IF('Building &amp; Material inputs'!D117=2,1,0)</f>
        <v>0</v>
      </c>
      <c r="I72" s="66"/>
      <c r="J72" s="66"/>
      <c r="K72" s="105">
        <f t="shared" ref="K72:K74" si="0">K71</f>
        <v>257.52</v>
      </c>
      <c r="L72" s="66" t="s">
        <v>488</v>
      </c>
      <c r="M72" s="66"/>
      <c r="N72" s="66"/>
      <c r="O72" s="89">
        <f>K72*H72</f>
        <v>0</v>
      </c>
      <c r="P72" s="68" t="s">
        <v>332</v>
      </c>
      <c r="Q72" s="66" t="s">
        <v>467</v>
      </c>
      <c r="S72" s="22" t="s">
        <v>343</v>
      </c>
      <c r="U72" s="22" t="s">
        <v>343</v>
      </c>
      <c r="V72" s="28" t="s">
        <v>793</v>
      </c>
    </row>
    <row r="73" spans="2:22" ht="15" customHeight="1" thickBot="1" x14ac:dyDescent="0.3">
      <c r="B73" s="302"/>
      <c r="C73" s="302"/>
      <c r="D73" s="303"/>
      <c r="E73" s="65" t="s">
        <v>148</v>
      </c>
      <c r="F73" s="66" t="s">
        <v>95</v>
      </c>
      <c r="G73" s="69" t="s">
        <v>339</v>
      </c>
      <c r="H73" s="238">
        <f>IF('Building &amp; Material inputs'!D117=2,1,0)</f>
        <v>0</v>
      </c>
      <c r="I73" s="70">
        <v>0.03</v>
      </c>
      <c r="J73" s="66"/>
      <c r="K73" s="105">
        <f t="shared" si="0"/>
        <v>257.52</v>
      </c>
      <c r="L73" s="66" t="s">
        <v>488</v>
      </c>
      <c r="M73" s="66"/>
      <c r="N73" s="66"/>
      <c r="O73" s="89">
        <f>K73*I73*H73</f>
        <v>0</v>
      </c>
      <c r="P73" s="68" t="s">
        <v>14</v>
      </c>
      <c r="Q73" s="66" t="s">
        <v>482</v>
      </c>
      <c r="S73" s="22" t="s">
        <v>345</v>
      </c>
      <c r="U73" s="22" t="s">
        <v>345</v>
      </c>
      <c r="V73" s="28" t="s">
        <v>794</v>
      </c>
    </row>
    <row r="74" spans="2:22" ht="15" customHeight="1" thickBot="1" x14ac:dyDescent="0.3">
      <c r="B74" s="302"/>
      <c r="C74" s="302"/>
      <c r="D74" s="303"/>
      <c r="E74" s="65" t="s">
        <v>149</v>
      </c>
      <c r="F74" s="71" t="s">
        <v>57</v>
      </c>
      <c r="G74" s="72" t="str">
        <f>VLOOKUP('Building &amp; Material inputs'!E204,'Building &amp; Material inputs'!C206:D211,2,0)</f>
        <v>MWOOL</v>
      </c>
      <c r="H74" s="242">
        <f>IF('Building &amp; Material inputs'!D117=2,1,0)</f>
        <v>0</v>
      </c>
      <c r="I74" s="70">
        <v>0.04</v>
      </c>
      <c r="J74" s="66"/>
      <c r="K74" s="105">
        <f t="shared" si="0"/>
        <v>257.52</v>
      </c>
      <c r="L74" s="66" t="s">
        <v>488</v>
      </c>
      <c r="M74" s="66"/>
      <c r="N74" s="66"/>
      <c r="O74" s="89">
        <f>K74*I74*H74</f>
        <v>0</v>
      </c>
      <c r="P74" s="68" t="s">
        <v>14</v>
      </c>
      <c r="Q74" s="66" t="s">
        <v>482</v>
      </c>
      <c r="S74" s="22" t="s">
        <v>347</v>
      </c>
      <c r="U74" s="22" t="s">
        <v>347</v>
      </c>
      <c r="V74" s="28" t="s">
        <v>349</v>
      </c>
    </row>
    <row r="75" spans="2:22" x14ac:dyDescent="0.25">
      <c r="B75" s="302"/>
      <c r="C75" s="302"/>
      <c r="D75" s="303"/>
      <c r="E75" s="65" t="s">
        <v>150</v>
      </c>
      <c r="F75" s="66" t="s">
        <v>96</v>
      </c>
      <c r="G75" s="73" t="s">
        <v>279</v>
      </c>
      <c r="H75" s="238">
        <f>IF('Building &amp; Material inputs'!D117=2,1,0)</f>
        <v>0</v>
      </c>
      <c r="I75" s="66"/>
      <c r="J75" s="66"/>
      <c r="K75" s="105">
        <f t="shared" ref="K75" si="1">K74</f>
        <v>257.52</v>
      </c>
      <c r="L75" s="66" t="s">
        <v>488</v>
      </c>
      <c r="M75" s="74">
        <v>4.4999999999999998E-2</v>
      </c>
      <c r="N75" s="66" t="s">
        <v>531</v>
      </c>
      <c r="O75" s="89">
        <f>H75*K75*M75</f>
        <v>0</v>
      </c>
      <c r="P75" s="68" t="s">
        <v>14</v>
      </c>
      <c r="Q75" s="66" t="s">
        <v>492</v>
      </c>
      <c r="S75" s="22" t="s">
        <v>350</v>
      </c>
      <c r="U75" s="22" t="s">
        <v>350</v>
      </c>
      <c r="V75" s="28" t="s">
        <v>797</v>
      </c>
    </row>
    <row r="76" spans="2:22" x14ac:dyDescent="0.25">
      <c r="B76" s="302"/>
      <c r="C76" s="302"/>
      <c r="D76" s="299" t="s">
        <v>151</v>
      </c>
      <c r="E76" s="59" t="s">
        <v>152</v>
      </c>
      <c r="F76" s="60" t="s">
        <v>97</v>
      </c>
      <c r="G76" s="60" t="s">
        <v>533</v>
      </c>
      <c r="H76" s="239">
        <f>IF('Building &amp; Material inputs'!D117=3,1,0)</f>
        <v>0</v>
      </c>
      <c r="I76" s="63">
        <v>0.05</v>
      </c>
      <c r="J76" s="60"/>
      <c r="K76" s="104">
        <f>K75</f>
        <v>257.52</v>
      </c>
      <c r="L76" s="60" t="s">
        <v>488</v>
      </c>
      <c r="M76" s="60"/>
      <c r="N76" s="60"/>
      <c r="O76" s="85">
        <f>H76*K76*I76</f>
        <v>0</v>
      </c>
      <c r="P76" s="62" t="s">
        <v>534</v>
      </c>
      <c r="Q76" s="60" t="s">
        <v>482</v>
      </c>
      <c r="S76" s="22" t="s">
        <v>354</v>
      </c>
      <c r="U76" s="22" t="s">
        <v>354</v>
      </c>
      <c r="V76" s="28" t="s">
        <v>795</v>
      </c>
    </row>
    <row r="77" spans="2:22" x14ac:dyDescent="0.25">
      <c r="B77" s="302"/>
      <c r="C77" s="302"/>
      <c r="D77" s="299"/>
      <c r="E77" s="59" t="s">
        <v>153</v>
      </c>
      <c r="F77" s="60" t="s">
        <v>99</v>
      </c>
      <c r="G77" s="60" t="s">
        <v>329</v>
      </c>
      <c r="H77" s="239">
        <f>H76</f>
        <v>0</v>
      </c>
      <c r="I77" s="64">
        <v>5.0000000000000001E-3</v>
      </c>
      <c r="J77" s="60"/>
      <c r="K77" s="104">
        <f t="shared" ref="K77" si="2">K76</f>
        <v>257.52</v>
      </c>
      <c r="L77" s="60" t="s">
        <v>488</v>
      </c>
      <c r="M77" s="60"/>
      <c r="N77" s="60"/>
      <c r="O77" s="85">
        <f>K77*I77*H77</f>
        <v>0</v>
      </c>
      <c r="P77" s="62" t="s">
        <v>14</v>
      </c>
      <c r="Q77" s="60" t="s">
        <v>463</v>
      </c>
      <c r="S77" s="22" t="s">
        <v>358</v>
      </c>
      <c r="U77" s="22" t="s">
        <v>358</v>
      </c>
      <c r="V77" s="32" t="s">
        <v>796</v>
      </c>
    </row>
    <row r="78" spans="2:22" x14ac:dyDescent="0.25">
      <c r="B78" s="302"/>
      <c r="C78" s="302" t="s">
        <v>91</v>
      </c>
      <c r="D78" s="303" t="s">
        <v>154</v>
      </c>
      <c r="E78" s="65" t="s">
        <v>172</v>
      </c>
      <c r="F78" s="66" t="s">
        <v>98</v>
      </c>
      <c r="G78" s="66" t="s">
        <v>290</v>
      </c>
      <c r="H78" s="238">
        <f>IF('Building &amp; Material inputs'!D126=1,1,0)</f>
        <v>1</v>
      </c>
      <c r="I78" s="74">
        <v>0.11</v>
      </c>
      <c r="J78" s="75">
        <v>805</v>
      </c>
      <c r="K78" s="105">
        <f>'Building &amp; Material inputs'!D43</f>
        <v>221.66</v>
      </c>
      <c r="L78" s="66" t="s">
        <v>535</v>
      </c>
      <c r="M78" s="66"/>
      <c r="N78" s="66"/>
      <c r="O78" s="89">
        <f>K78*J78*I78*H78</f>
        <v>19627.992999999999</v>
      </c>
      <c r="P78" s="68" t="s">
        <v>15</v>
      </c>
      <c r="Q78" s="66" t="s">
        <v>530</v>
      </c>
    </row>
    <row r="79" spans="2:22" ht="15" customHeight="1" x14ac:dyDescent="0.25">
      <c r="B79" s="302"/>
      <c r="C79" s="302"/>
      <c r="D79" s="303"/>
      <c r="E79" s="65" t="s">
        <v>173</v>
      </c>
      <c r="F79" s="66" t="s">
        <v>364</v>
      </c>
      <c r="G79" s="66" t="s">
        <v>366</v>
      </c>
      <c r="H79" s="238">
        <f>IF('Building &amp; Material inputs'!D126=1,1,0)</f>
        <v>1</v>
      </c>
      <c r="I79" s="67">
        <v>0.02</v>
      </c>
      <c r="J79" s="67">
        <v>1600</v>
      </c>
      <c r="K79" s="105">
        <f>K78</f>
        <v>221.66</v>
      </c>
      <c r="L79" s="66" t="s">
        <v>535</v>
      </c>
      <c r="M79" s="66"/>
      <c r="N79" s="66"/>
      <c r="O79" s="89">
        <f>K79*J79*I79*H79</f>
        <v>7093.12</v>
      </c>
      <c r="P79" s="68" t="s">
        <v>15</v>
      </c>
      <c r="Q79" s="66" t="s">
        <v>530</v>
      </c>
    </row>
    <row r="80" spans="2:22" ht="15" customHeight="1" x14ac:dyDescent="0.25">
      <c r="B80" s="302"/>
      <c r="C80" s="302"/>
      <c r="D80" s="299" t="s">
        <v>375</v>
      </c>
      <c r="E80" s="76" t="s">
        <v>174</v>
      </c>
      <c r="F80" s="60" t="s">
        <v>368</v>
      </c>
      <c r="G80" s="60" t="s">
        <v>373</v>
      </c>
      <c r="H80" s="239">
        <f>IF('Building &amp; Material inputs'!D126=2,1,0)</f>
        <v>0</v>
      </c>
      <c r="I80" s="60"/>
      <c r="J80" s="60"/>
      <c r="K80" s="104">
        <f t="shared" ref="K80:K87" si="3">K79</f>
        <v>221.66</v>
      </c>
      <c r="L80" s="60" t="s">
        <v>535</v>
      </c>
      <c r="M80" s="60"/>
      <c r="N80" s="60"/>
      <c r="O80" s="85">
        <f>K80*H80</f>
        <v>0</v>
      </c>
      <c r="P80" s="62" t="s">
        <v>332</v>
      </c>
      <c r="Q80" s="60" t="s">
        <v>467</v>
      </c>
    </row>
    <row r="81" spans="2:17" ht="15" customHeight="1" thickBot="1" x14ac:dyDescent="0.3">
      <c r="B81" s="302"/>
      <c r="C81" s="302"/>
      <c r="D81" s="299"/>
      <c r="E81" s="76" t="s">
        <v>175</v>
      </c>
      <c r="F81" s="60" t="s">
        <v>100</v>
      </c>
      <c r="G81" s="77" t="s">
        <v>382</v>
      </c>
      <c r="H81" s="239">
        <f>IF('Building &amp; Material inputs'!D126=21,1,0)</f>
        <v>0</v>
      </c>
      <c r="I81" s="60"/>
      <c r="J81" s="60"/>
      <c r="K81" s="104">
        <f t="shared" si="3"/>
        <v>221.66</v>
      </c>
      <c r="L81" s="60" t="s">
        <v>535</v>
      </c>
      <c r="M81" s="64">
        <v>3.04</v>
      </c>
      <c r="N81" s="60" t="s">
        <v>537</v>
      </c>
      <c r="O81" s="85">
        <f>M81*K81*H81</f>
        <v>0</v>
      </c>
      <c r="P81" s="62" t="s">
        <v>15</v>
      </c>
      <c r="Q81" s="60" t="s">
        <v>492</v>
      </c>
    </row>
    <row r="82" spans="2:17" ht="15.75" thickBot="1" x14ac:dyDescent="0.3">
      <c r="B82" s="302"/>
      <c r="C82" s="302"/>
      <c r="D82" s="299"/>
      <c r="E82" s="76" t="s">
        <v>176</v>
      </c>
      <c r="F82" s="78" t="s">
        <v>57</v>
      </c>
      <c r="G82" s="79" t="str">
        <f>VLOOKUP('Building &amp; Material inputs'!E204,'Building &amp; Material inputs'!C206:D211,2,0)</f>
        <v>MWOOL</v>
      </c>
      <c r="H82" s="243">
        <f>IF('Building &amp; Material inputs'!D126=21,1,0)</f>
        <v>0</v>
      </c>
      <c r="I82" s="63">
        <v>0.05</v>
      </c>
      <c r="J82" s="60"/>
      <c r="K82" s="104">
        <f t="shared" si="3"/>
        <v>221.66</v>
      </c>
      <c r="L82" s="60" t="s">
        <v>535</v>
      </c>
      <c r="M82" s="60"/>
      <c r="N82" s="60"/>
      <c r="O82" s="85">
        <f>K82*I82*H82</f>
        <v>0</v>
      </c>
      <c r="P82" s="62" t="s">
        <v>14</v>
      </c>
      <c r="Q82" s="60" t="s">
        <v>467</v>
      </c>
    </row>
    <row r="83" spans="2:17" x14ac:dyDescent="0.25">
      <c r="B83" s="302"/>
      <c r="C83" s="302"/>
      <c r="D83" s="303" t="s">
        <v>155</v>
      </c>
      <c r="E83" s="80" t="s">
        <v>177</v>
      </c>
      <c r="F83" s="66" t="s">
        <v>62</v>
      </c>
      <c r="G83" s="73" t="s">
        <v>301</v>
      </c>
      <c r="H83" s="238">
        <f>IF('Building &amp; Material inputs'!D126=3,1,0)</f>
        <v>0</v>
      </c>
      <c r="I83" s="74">
        <v>0.1</v>
      </c>
      <c r="J83" s="66"/>
      <c r="K83" s="105">
        <f t="shared" si="3"/>
        <v>221.66</v>
      </c>
      <c r="L83" s="66" t="s">
        <v>535</v>
      </c>
      <c r="M83" s="66"/>
      <c r="N83" s="66"/>
      <c r="O83" s="89">
        <f>K83*I83*H83</f>
        <v>0</v>
      </c>
      <c r="P83" s="68" t="s">
        <v>14</v>
      </c>
      <c r="Q83" s="66" t="s">
        <v>482</v>
      </c>
    </row>
    <row r="84" spans="2:17" ht="15.75" thickBot="1" x14ac:dyDescent="0.3">
      <c r="B84" s="302"/>
      <c r="C84" s="302"/>
      <c r="D84" s="303"/>
      <c r="E84" s="80" t="s">
        <v>178</v>
      </c>
      <c r="F84" s="66" t="s">
        <v>604</v>
      </c>
      <c r="G84" s="96" t="s">
        <v>380</v>
      </c>
      <c r="H84" s="238">
        <f>IF('Building &amp; Material inputs'!D126=3,1,0)</f>
        <v>0</v>
      </c>
      <c r="I84" s="66"/>
      <c r="J84" s="66"/>
      <c r="K84" s="67">
        <v>4</v>
      </c>
      <c r="L84" s="66" t="s">
        <v>485</v>
      </c>
      <c r="M84" s="66"/>
      <c r="N84" s="66"/>
      <c r="O84" s="89">
        <f>K84*H84*O83</f>
        <v>0</v>
      </c>
      <c r="P84" s="68" t="s">
        <v>15</v>
      </c>
      <c r="Q84" s="66" t="s">
        <v>486</v>
      </c>
    </row>
    <row r="85" spans="2:17" ht="15.75" thickBot="1" x14ac:dyDescent="0.3">
      <c r="B85" s="302"/>
      <c r="C85" s="302"/>
      <c r="D85" s="303"/>
      <c r="E85" s="80" t="s">
        <v>179</v>
      </c>
      <c r="F85" s="66" t="s">
        <v>57</v>
      </c>
      <c r="G85" s="72" t="str">
        <f>VLOOKUP('Building &amp; Material inputs'!E204,'Building &amp; Material inputs'!C206:D211,2,0)</f>
        <v>MWOOL</v>
      </c>
      <c r="H85" s="238">
        <f>IF('Building &amp; Material inputs'!D126=3,1,0)</f>
        <v>0</v>
      </c>
      <c r="I85" s="74">
        <v>0.05</v>
      </c>
      <c r="J85" s="66"/>
      <c r="K85" s="105">
        <f>K83</f>
        <v>221.66</v>
      </c>
      <c r="L85" s="66" t="s">
        <v>535</v>
      </c>
      <c r="M85" s="66"/>
      <c r="N85" s="66"/>
      <c r="O85" s="89">
        <f>K85*I85*H85</f>
        <v>0</v>
      </c>
      <c r="P85" s="68" t="s">
        <v>14</v>
      </c>
      <c r="Q85" s="66" t="s">
        <v>482</v>
      </c>
    </row>
    <row r="86" spans="2:17" x14ac:dyDescent="0.25">
      <c r="B86" s="302"/>
      <c r="C86" s="302"/>
      <c r="D86" s="303"/>
      <c r="E86" s="80" t="s">
        <v>180</v>
      </c>
      <c r="F86" s="66" t="s">
        <v>96</v>
      </c>
      <c r="G86" s="73" t="s">
        <v>279</v>
      </c>
      <c r="H86" s="238">
        <f>IF('Building &amp; Material inputs'!D126=3,1,0)</f>
        <v>0</v>
      </c>
      <c r="I86" s="66"/>
      <c r="J86" s="66"/>
      <c r="K86" s="105">
        <f t="shared" si="3"/>
        <v>221.66</v>
      </c>
      <c r="L86" s="66" t="s">
        <v>535</v>
      </c>
      <c r="M86" s="74">
        <v>4.4999999999999998E-2</v>
      </c>
      <c r="N86" s="66" t="s">
        <v>538</v>
      </c>
      <c r="O86" s="89">
        <f>H86*K86*M86</f>
        <v>0</v>
      </c>
      <c r="P86" s="68" t="s">
        <v>14</v>
      </c>
      <c r="Q86" s="66" t="s">
        <v>492</v>
      </c>
    </row>
    <row r="87" spans="2:17" x14ac:dyDescent="0.25">
      <c r="B87" s="302"/>
      <c r="C87" s="302"/>
      <c r="D87" s="303"/>
      <c r="E87" s="80" t="s">
        <v>596</v>
      </c>
      <c r="F87" s="66" t="s">
        <v>367</v>
      </c>
      <c r="G87" s="66" t="s">
        <v>374</v>
      </c>
      <c r="H87" s="238">
        <f>IF('Building &amp; Material inputs'!D126=3,1,0)</f>
        <v>0</v>
      </c>
      <c r="I87" s="66"/>
      <c r="J87" s="66"/>
      <c r="K87" s="105">
        <f t="shared" si="3"/>
        <v>221.66</v>
      </c>
      <c r="L87" s="66" t="s">
        <v>535</v>
      </c>
      <c r="M87" s="67">
        <v>2</v>
      </c>
      <c r="N87" s="66" t="s">
        <v>539</v>
      </c>
      <c r="O87" s="89">
        <f>M87*K87*H87</f>
        <v>0</v>
      </c>
      <c r="P87" s="68" t="s">
        <v>332</v>
      </c>
      <c r="Q87" s="66" t="s">
        <v>492</v>
      </c>
    </row>
    <row r="88" spans="2:17" ht="15.75" thickBot="1" x14ac:dyDescent="0.3">
      <c r="B88" s="302"/>
      <c r="C88" s="302"/>
      <c r="D88" s="302" t="s">
        <v>156</v>
      </c>
      <c r="E88" s="9" t="s">
        <v>181</v>
      </c>
      <c r="F88" s="7" t="s">
        <v>101</v>
      </c>
      <c r="G88" s="7" t="s">
        <v>289</v>
      </c>
      <c r="H88" s="106">
        <v>1</v>
      </c>
      <c r="I88" s="37">
        <v>0.2</v>
      </c>
      <c r="J88" s="7"/>
      <c r="K88" s="103">
        <f>'Building &amp; Material inputs'!D45</f>
        <v>0</v>
      </c>
      <c r="L88" s="7" t="s">
        <v>535</v>
      </c>
      <c r="M88" s="7"/>
      <c r="N88" s="7"/>
      <c r="O88" s="38">
        <f>K88*I88*H88</f>
        <v>0</v>
      </c>
      <c r="P88" s="42" t="s">
        <v>14</v>
      </c>
      <c r="Q88" s="7" t="s">
        <v>482</v>
      </c>
    </row>
    <row r="89" spans="2:17" ht="15.75" thickBot="1" x14ac:dyDescent="0.3">
      <c r="B89" s="302"/>
      <c r="C89" s="302"/>
      <c r="D89" s="302"/>
      <c r="E89" s="9" t="s">
        <v>182</v>
      </c>
      <c r="F89" s="7" t="s">
        <v>57</v>
      </c>
      <c r="G89" s="12" t="str">
        <f>VLOOKUP('Building &amp; Material inputs'!E204,'Building &amp; Material inputs'!C206:D211,2,0)</f>
        <v>MWOOL</v>
      </c>
      <c r="H89" s="106">
        <v>1</v>
      </c>
      <c r="I89" s="37">
        <v>0.05</v>
      </c>
      <c r="J89" s="7"/>
      <c r="K89" s="103">
        <f>K88</f>
        <v>0</v>
      </c>
      <c r="L89" s="7" t="s">
        <v>535</v>
      </c>
      <c r="M89" s="7"/>
      <c r="N89" s="7"/>
      <c r="O89" s="38">
        <f>K89*I89*H89</f>
        <v>0</v>
      </c>
      <c r="P89" s="42" t="s">
        <v>14</v>
      </c>
      <c r="Q89" s="7" t="s">
        <v>482</v>
      </c>
    </row>
    <row r="90" spans="2:17" x14ac:dyDescent="0.25">
      <c r="B90" s="302"/>
      <c r="C90" s="302"/>
      <c r="D90" s="302"/>
      <c r="E90" s="9" t="s">
        <v>183</v>
      </c>
      <c r="F90" s="7" t="s">
        <v>364</v>
      </c>
      <c r="G90" s="7" t="s">
        <v>366</v>
      </c>
      <c r="H90" s="106">
        <v>1</v>
      </c>
      <c r="I90" s="36">
        <v>0.04</v>
      </c>
      <c r="J90" s="36">
        <v>1600</v>
      </c>
      <c r="K90" s="103">
        <f>K89</f>
        <v>0</v>
      </c>
      <c r="L90" s="7" t="s">
        <v>535</v>
      </c>
      <c r="M90" s="7"/>
      <c r="N90" s="7"/>
      <c r="O90" s="38">
        <f>K90*J90*I90*H90</f>
        <v>0</v>
      </c>
      <c r="P90" s="42" t="s">
        <v>15</v>
      </c>
      <c r="Q90" s="7" t="s">
        <v>530</v>
      </c>
    </row>
    <row r="91" spans="2:17" x14ac:dyDescent="0.25">
      <c r="B91" s="302"/>
      <c r="C91" s="302"/>
      <c r="D91" s="302" t="s">
        <v>157</v>
      </c>
      <c r="E91" s="9" t="s">
        <v>184</v>
      </c>
      <c r="F91" s="7" t="s">
        <v>98</v>
      </c>
      <c r="G91" s="7" t="s">
        <v>290</v>
      </c>
      <c r="H91" s="106">
        <v>1</v>
      </c>
      <c r="I91" s="39">
        <v>0.11</v>
      </c>
      <c r="J91" s="43">
        <v>805</v>
      </c>
      <c r="K91" s="103">
        <f>'Building &amp; Material inputs'!D58</f>
        <v>26.4</v>
      </c>
      <c r="L91" s="7" t="s">
        <v>535</v>
      </c>
      <c r="M91" s="7"/>
      <c r="N91" s="7"/>
      <c r="O91" s="38">
        <f>K91*J91*I91*H91</f>
        <v>2337.7199999999998</v>
      </c>
      <c r="P91" s="42" t="s">
        <v>15</v>
      </c>
      <c r="Q91" s="7" t="s">
        <v>530</v>
      </c>
    </row>
    <row r="92" spans="2:17" x14ac:dyDescent="0.25">
      <c r="B92" s="302"/>
      <c r="C92" s="302"/>
      <c r="D92" s="302"/>
      <c r="E92" s="9" t="s">
        <v>185</v>
      </c>
      <c r="F92" s="7" t="s">
        <v>364</v>
      </c>
      <c r="G92" s="7" t="s">
        <v>366</v>
      </c>
      <c r="H92" s="106">
        <v>1</v>
      </c>
      <c r="I92" s="36">
        <v>0.02</v>
      </c>
      <c r="J92" s="36">
        <v>1600</v>
      </c>
      <c r="K92" s="103">
        <f>K91</f>
        <v>26.4</v>
      </c>
      <c r="L92" s="7" t="s">
        <v>535</v>
      </c>
      <c r="M92" s="7"/>
      <c r="N92" s="7"/>
      <c r="O92" s="38">
        <f>K92*J92*I92*H92</f>
        <v>844.80000000000007</v>
      </c>
      <c r="P92" s="42" t="s">
        <v>15</v>
      </c>
      <c r="Q92" s="7" t="s">
        <v>530</v>
      </c>
    </row>
    <row r="93" spans="2:17" x14ac:dyDescent="0.25">
      <c r="B93" s="302"/>
      <c r="C93" s="302"/>
      <c r="D93" s="9" t="s">
        <v>158</v>
      </c>
      <c r="E93" s="9" t="s">
        <v>186</v>
      </c>
      <c r="F93" s="17" t="s">
        <v>68</v>
      </c>
      <c r="G93" s="7" t="s">
        <v>386</v>
      </c>
      <c r="H93" s="106">
        <v>1</v>
      </c>
      <c r="I93" s="7"/>
      <c r="J93" s="7"/>
      <c r="K93" s="103">
        <f>'Building &amp; Material inputs'!D59</f>
        <v>5.5</v>
      </c>
      <c r="L93" s="7" t="s">
        <v>542</v>
      </c>
      <c r="M93" s="37">
        <v>9.5</v>
      </c>
      <c r="N93" s="7" t="s">
        <v>543</v>
      </c>
      <c r="O93" s="38">
        <f>M93*K93*H93</f>
        <v>52.25</v>
      </c>
      <c r="P93" s="42" t="s">
        <v>15</v>
      </c>
      <c r="Q93" s="7" t="s">
        <v>492</v>
      </c>
    </row>
    <row r="94" spans="2:17" x14ac:dyDescent="0.25">
      <c r="B94" s="302"/>
      <c r="C94" s="302"/>
      <c r="D94" s="9" t="s">
        <v>392</v>
      </c>
      <c r="E94" s="9" t="s">
        <v>187</v>
      </c>
      <c r="F94" s="17" t="s">
        <v>391</v>
      </c>
      <c r="G94" s="7" t="s">
        <v>544</v>
      </c>
      <c r="H94" s="106">
        <v>1</v>
      </c>
      <c r="I94" s="7"/>
      <c r="J94" s="7"/>
      <c r="K94" s="103">
        <f>'Building &amp; Material inputs'!D51</f>
        <v>7.64</v>
      </c>
      <c r="L94" s="7" t="s">
        <v>545</v>
      </c>
      <c r="M94" s="7"/>
      <c r="N94" s="7"/>
      <c r="O94" s="38">
        <f>K94*H94</f>
        <v>7.64</v>
      </c>
      <c r="P94" s="42" t="s">
        <v>332</v>
      </c>
      <c r="Q94" s="7" t="s">
        <v>467</v>
      </c>
    </row>
    <row r="95" spans="2:17" x14ac:dyDescent="0.25">
      <c r="B95" s="302"/>
      <c r="C95" s="302" t="s">
        <v>92</v>
      </c>
      <c r="D95" s="304" t="s">
        <v>159</v>
      </c>
      <c r="E95" s="9" t="s">
        <v>188</v>
      </c>
      <c r="F95" s="7" t="s">
        <v>65</v>
      </c>
      <c r="G95" s="7" t="s">
        <v>331</v>
      </c>
      <c r="H95" s="106">
        <v>1</v>
      </c>
      <c r="I95" s="7"/>
      <c r="J95" s="7"/>
      <c r="K95" s="103">
        <f>'Building &amp; Material inputs'!D46</f>
        <v>10.8</v>
      </c>
      <c r="L95" s="7" t="s">
        <v>550</v>
      </c>
      <c r="M95" s="37">
        <v>1.27</v>
      </c>
      <c r="N95" s="7" t="s">
        <v>549</v>
      </c>
      <c r="O95" s="38">
        <f>M95*K95*H95</f>
        <v>13.716000000000001</v>
      </c>
      <c r="P95" s="42" t="s">
        <v>332</v>
      </c>
      <c r="Q95" s="7" t="s">
        <v>492</v>
      </c>
    </row>
    <row r="96" spans="2:17" x14ac:dyDescent="0.25">
      <c r="B96" s="302"/>
      <c r="C96" s="302"/>
      <c r="D96" s="305"/>
      <c r="E96" s="9" t="s">
        <v>189</v>
      </c>
      <c r="F96" s="7" t="s">
        <v>66</v>
      </c>
      <c r="G96" s="7" t="s">
        <v>322</v>
      </c>
      <c r="H96" s="106">
        <v>1</v>
      </c>
      <c r="I96" s="7"/>
      <c r="J96" s="7"/>
      <c r="K96" s="37">
        <v>6</v>
      </c>
      <c r="L96" s="7" t="s">
        <v>551</v>
      </c>
      <c r="M96" s="7"/>
      <c r="N96" s="7"/>
      <c r="O96" s="38">
        <f>K96*H96*O95</f>
        <v>82.296000000000006</v>
      </c>
      <c r="P96" s="42" t="s">
        <v>15</v>
      </c>
      <c r="Q96" s="7" t="s">
        <v>552</v>
      </c>
    </row>
    <row r="97" spans="2:17" x14ac:dyDescent="0.25">
      <c r="B97" s="302"/>
      <c r="C97" s="302"/>
      <c r="D97" s="305"/>
      <c r="E97" s="9" t="s">
        <v>190</v>
      </c>
      <c r="F97" s="7" t="s">
        <v>103</v>
      </c>
      <c r="G97" s="7" t="s">
        <v>533</v>
      </c>
      <c r="H97" s="106">
        <v>1</v>
      </c>
      <c r="I97" s="7"/>
      <c r="J97" s="36">
        <v>1600</v>
      </c>
      <c r="K97" s="103">
        <f>K95</f>
        <v>10.8</v>
      </c>
      <c r="L97" s="7" t="s">
        <v>550</v>
      </c>
      <c r="M97" s="49">
        <v>7.1499999999999994E-2</v>
      </c>
      <c r="N97" s="7" t="s">
        <v>548</v>
      </c>
      <c r="O97" s="38">
        <f>M97*K97*J97*H97</f>
        <v>1235.52</v>
      </c>
      <c r="P97" s="42" t="s">
        <v>15</v>
      </c>
      <c r="Q97" s="7" t="s">
        <v>553</v>
      </c>
    </row>
    <row r="98" spans="2:17" x14ac:dyDescent="0.25">
      <c r="B98" s="302"/>
      <c r="C98" s="302"/>
      <c r="D98" s="305"/>
      <c r="E98" s="9" t="s">
        <v>191</v>
      </c>
      <c r="F98" s="7" t="s">
        <v>19</v>
      </c>
      <c r="G98" s="7" t="s">
        <v>271</v>
      </c>
      <c r="H98" s="106">
        <f>IF('Building &amp; Material inputs'!D135=1,1,0)</f>
        <v>1</v>
      </c>
      <c r="I98" s="37">
        <v>0.2</v>
      </c>
      <c r="J98" s="7"/>
      <c r="K98" s="103">
        <f>K97</f>
        <v>10.8</v>
      </c>
      <c r="L98" s="7" t="s">
        <v>550</v>
      </c>
      <c r="M98" s="7"/>
      <c r="N98" s="7"/>
      <c r="O98" s="38">
        <f>K98*I98*H98</f>
        <v>2.16</v>
      </c>
      <c r="P98" s="42" t="s">
        <v>14</v>
      </c>
      <c r="Q98" s="7" t="s">
        <v>482</v>
      </c>
    </row>
    <row r="99" spans="2:17" x14ac:dyDescent="0.25">
      <c r="B99" s="302"/>
      <c r="C99" s="302"/>
      <c r="D99" s="305"/>
      <c r="E99" s="9" t="s">
        <v>192</v>
      </c>
      <c r="F99" s="7" t="s">
        <v>20</v>
      </c>
      <c r="G99" s="22" t="s">
        <v>443</v>
      </c>
      <c r="H99" s="106">
        <f>IF('Building &amp; Material inputs'!D135=1,1,0)</f>
        <v>1</v>
      </c>
      <c r="I99" s="7"/>
      <c r="J99" s="7"/>
      <c r="K99" s="36">
        <v>137.6</v>
      </c>
      <c r="L99" s="7" t="s">
        <v>444</v>
      </c>
      <c r="M99" s="7"/>
      <c r="N99" s="7"/>
      <c r="O99" s="38">
        <f>K99*H99*O98</f>
        <v>297.21600000000001</v>
      </c>
      <c r="P99" s="42" t="s">
        <v>15</v>
      </c>
      <c r="Q99" s="7" t="s">
        <v>556</v>
      </c>
    </row>
    <row r="100" spans="2:17" ht="15" customHeight="1" x14ac:dyDescent="0.25">
      <c r="B100" s="302"/>
      <c r="C100" s="302"/>
      <c r="D100" s="305"/>
      <c r="E100" s="80" t="s">
        <v>193</v>
      </c>
      <c r="F100" s="66" t="s">
        <v>21</v>
      </c>
      <c r="G100" s="96" t="s">
        <v>381</v>
      </c>
      <c r="H100" s="238">
        <f>IF('Building &amp; Material inputs'!D135=2,1,0)</f>
        <v>0</v>
      </c>
      <c r="I100" s="7"/>
      <c r="J100" s="7"/>
      <c r="K100" s="103">
        <f>K98</f>
        <v>10.8</v>
      </c>
      <c r="L100" s="7" t="s">
        <v>550</v>
      </c>
      <c r="M100" s="37">
        <v>21.33</v>
      </c>
      <c r="N100" s="7" t="s">
        <v>547</v>
      </c>
      <c r="O100" s="38">
        <f>M100*K100*H100</f>
        <v>0</v>
      </c>
      <c r="P100" s="42" t="s">
        <v>15</v>
      </c>
      <c r="Q100" s="7" t="s">
        <v>492</v>
      </c>
    </row>
    <row r="101" spans="2:17" ht="15" customHeight="1" x14ac:dyDescent="0.25">
      <c r="B101" s="302"/>
      <c r="C101" s="302"/>
      <c r="D101" s="305"/>
      <c r="E101" s="76" t="s">
        <v>554</v>
      </c>
      <c r="F101" s="60" t="s">
        <v>62</v>
      </c>
      <c r="G101" s="60" t="s">
        <v>301</v>
      </c>
      <c r="H101" s="239">
        <f>IF('Building &amp; Material inputs'!D135=3,1,0)</f>
        <v>0</v>
      </c>
      <c r="I101" s="39">
        <v>0.16</v>
      </c>
      <c r="J101" s="7"/>
      <c r="K101" s="103">
        <f>K97</f>
        <v>10.8</v>
      </c>
      <c r="L101" s="7" t="s">
        <v>550</v>
      </c>
      <c r="M101" s="37"/>
      <c r="N101" s="7"/>
      <c r="O101" s="38">
        <f>K101*I101*H101</f>
        <v>0</v>
      </c>
      <c r="P101" s="42" t="s">
        <v>14</v>
      </c>
      <c r="Q101" s="7" t="s">
        <v>482</v>
      </c>
    </row>
    <row r="102" spans="2:17" ht="15" customHeight="1" x14ac:dyDescent="0.25">
      <c r="B102" s="302"/>
      <c r="C102" s="302"/>
      <c r="D102" s="306"/>
      <c r="E102" s="76" t="s">
        <v>555</v>
      </c>
      <c r="F102" s="60" t="s">
        <v>604</v>
      </c>
      <c r="G102" s="95" t="s">
        <v>380</v>
      </c>
      <c r="H102" s="239">
        <f>IF('Building &amp; Material inputs'!D135=32,1,0)</f>
        <v>0</v>
      </c>
      <c r="I102" s="7"/>
      <c r="J102" s="7"/>
      <c r="K102" s="37">
        <v>4</v>
      </c>
      <c r="L102" s="7" t="s">
        <v>485</v>
      </c>
      <c r="M102" s="37"/>
      <c r="N102" s="7"/>
      <c r="O102" s="38">
        <f>K102*H102*O101</f>
        <v>0</v>
      </c>
      <c r="P102" s="42" t="s">
        <v>15</v>
      </c>
      <c r="Q102" s="7" t="s">
        <v>486</v>
      </c>
    </row>
    <row r="103" spans="2:17" x14ac:dyDescent="0.25">
      <c r="B103" s="302"/>
      <c r="C103" s="302"/>
      <c r="D103" s="302" t="s">
        <v>160</v>
      </c>
      <c r="E103" s="9" t="s">
        <v>194</v>
      </c>
      <c r="F103" s="7" t="s">
        <v>65</v>
      </c>
      <c r="G103" s="7" t="s">
        <v>331</v>
      </c>
      <c r="H103" s="106">
        <v>1</v>
      </c>
      <c r="I103" s="7"/>
      <c r="J103" s="7"/>
      <c r="K103" s="103">
        <f>'Building &amp; Material inputs'!D47</f>
        <v>0</v>
      </c>
      <c r="L103" s="7" t="s">
        <v>558</v>
      </c>
      <c r="M103" s="7"/>
      <c r="N103" s="7"/>
      <c r="O103" s="38">
        <f>K103*H103</f>
        <v>0</v>
      </c>
      <c r="P103" s="42" t="s">
        <v>332</v>
      </c>
      <c r="Q103" s="7" t="s">
        <v>467</v>
      </c>
    </row>
    <row r="104" spans="2:17" x14ac:dyDescent="0.25">
      <c r="B104" s="302"/>
      <c r="C104" s="302"/>
      <c r="D104" s="302"/>
      <c r="E104" s="9" t="s">
        <v>195</v>
      </c>
      <c r="F104" s="7" t="s">
        <v>66</v>
      </c>
      <c r="G104" s="7" t="s">
        <v>322</v>
      </c>
      <c r="H104" s="106">
        <v>1</v>
      </c>
      <c r="I104" s="7"/>
      <c r="J104" s="7"/>
      <c r="K104" s="103">
        <f>K103</f>
        <v>0</v>
      </c>
      <c r="L104" s="7" t="s">
        <v>558</v>
      </c>
      <c r="M104" s="37">
        <v>6</v>
      </c>
      <c r="N104" s="7" t="s">
        <v>551</v>
      </c>
      <c r="O104" s="38">
        <f>M104*K104*H104</f>
        <v>0</v>
      </c>
      <c r="P104" s="42" t="s">
        <v>15</v>
      </c>
      <c r="Q104" s="7" t="s">
        <v>492</v>
      </c>
    </row>
    <row r="105" spans="2:17" x14ac:dyDescent="0.25">
      <c r="B105" s="302"/>
      <c r="C105" s="302"/>
      <c r="D105" s="302"/>
      <c r="E105" s="9" t="s">
        <v>196</v>
      </c>
      <c r="F105" s="7" t="s">
        <v>103</v>
      </c>
      <c r="G105" s="7" t="s">
        <v>533</v>
      </c>
      <c r="H105" s="106">
        <v>1</v>
      </c>
      <c r="I105" s="91">
        <v>0.03</v>
      </c>
      <c r="J105" s="107">
        <v>1600</v>
      </c>
      <c r="K105" s="103">
        <f t="shared" ref="K105:K106" si="4">K104</f>
        <v>0</v>
      </c>
      <c r="L105" s="7" t="s">
        <v>558</v>
      </c>
      <c r="M105" s="7"/>
      <c r="N105" s="7"/>
      <c r="O105" s="92">
        <f>K105*I105*J105*H105</f>
        <v>0</v>
      </c>
      <c r="P105" s="93" t="s">
        <v>15</v>
      </c>
      <c r="Q105" s="94" t="s">
        <v>530</v>
      </c>
    </row>
    <row r="106" spans="2:17" x14ac:dyDescent="0.25">
      <c r="B106" s="302"/>
      <c r="C106" s="302"/>
      <c r="D106" s="302"/>
      <c r="E106" s="9" t="s">
        <v>197</v>
      </c>
      <c r="F106" s="7" t="s">
        <v>19</v>
      </c>
      <c r="G106" s="7" t="s">
        <v>271</v>
      </c>
      <c r="H106" s="106">
        <v>1</v>
      </c>
      <c r="I106" s="91">
        <v>0.1</v>
      </c>
      <c r="J106" s="7"/>
      <c r="K106" s="103">
        <f t="shared" si="4"/>
        <v>0</v>
      </c>
      <c r="L106" s="7" t="s">
        <v>558</v>
      </c>
      <c r="M106" s="7"/>
      <c r="N106" s="7"/>
      <c r="O106" s="92">
        <f>K106*I106*H106</f>
        <v>0</v>
      </c>
      <c r="P106" s="93" t="s">
        <v>14</v>
      </c>
      <c r="Q106" s="94" t="s">
        <v>463</v>
      </c>
    </row>
    <row r="107" spans="2:17" x14ac:dyDescent="0.25">
      <c r="B107" s="302"/>
      <c r="C107" s="302"/>
      <c r="D107" s="302"/>
      <c r="E107" s="9" t="s">
        <v>198</v>
      </c>
      <c r="F107" s="7" t="s">
        <v>20</v>
      </c>
      <c r="G107" s="22" t="s">
        <v>443</v>
      </c>
      <c r="H107" s="106">
        <v>1</v>
      </c>
      <c r="I107" s="7"/>
      <c r="J107" s="7"/>
      <c r="K107" s="36">
        <v>30</v>
      </c>
      <c r="L107" s="7" t="s">
        <v>444</v>
      </c>
      <c r="M107" s="7"/>
      <c r="N107" s="7"/>
      <c r="O107" s="38">
        <f>H107*O106*K107</f>
        <v>0</v>
      </c>
      <c r="P107" s="42" t="s">
        <v>15</v>
      </c>
      <c r="Q107" s="7" t="s">
        <v>464</v>
      </c>
    </row>
    <row r="108" spans="2:17" x14ac:dyDescent="0.25">
      <c r="B108" s="305"/>
      <c r="C108" s="305"/>
      <c r="D108" s="305"/>
      <c r="E108" s="56"/>
      <c r="F108" s="18"/>
      <c r="G108" s="18"/>
      <c r="H108" s="244"/>
      <c r="I108" s="18"/>
      <c r="J108" s="18"/>
      <c r="K108" s="18"/>
      <c r="L108" s="18"/>
      <c r="M108" s="18"/>
      <c r="N108" s="18"/>
      <c r="O108" s="90"/>
      <c r="P108" s="57"/>
      <c r="Q108" s="18"/>
    </row>
    <row r="109" spans="2:17" ht="15" customHeight="1" x14ac:dyDescent="0.25">
      <c r="B109" s="302" t="s">
        <v>72</v>
      </c>
      <c r="C109" s="302" t="s">
        <v>161</v>
      </c>
      <c r="D109" s="299" t="s">
        <v>163</v>
      </c>
      <c r="E109" s="59" t="s">
        <v>199</v>
      </c>
      <c r="F109" s="60" t="s">
        <v>105</v>
      </c>
      <c r="G109" s="60" t="str">
        <f>G90</f>
        <v>PLASM</v>
      </c>
      <c r="H109" s="239">
        <f>IF('Building &amp; Material inputs'!D143=1,1,0)</f>
        <v>1</v>
      </c>
      <c r="I109" s="61">
        <v>0.03</v>
      </c>
      <c r="J109" s="61">
        <v>1600</v>
      </c>
      <c r="K109" s="104">
        <f>'Building &amp; Material inputs'!D44</f>
        <v>374.42</v>
      </c>
      <c r="L109" s="60" t="s">
        <v>535</v>
      </c>
      <c r="M109" s="60"/>
      <c r="N109" s="60"/>
      <c r="O109" s="85">
        <f>K109*J109*I109*H109</f>
        <v>17972.16</v>
      </c>
      <c r="P109" s="62" t="s">
        <v>15</v>
      </c>
      <c r="Q109" s="60" t="s">
        <v>530</v>
      </c>
    </row>
    <row r="110" spans="2:17" ht="15.75" thickBot="1" x14ac:dyDescent="0.3">
      <c r="B110" s="302"/>
      <c r="C110" s="302"/>
      <c r="D110" s="299"/>
      <c r="E110" s="59" t="s">
        <v>200</v>
      </c>
      <c r="F110" s="60" t="s">
        <v>60</v>
      </c>
      <c r="G110" s="77" t="str">
        <f>G91</f>
        <v>CERB</v>
      </c>
      <c r="H110" s="239">
        <f>IF('Building &amp; Material inputs'!D143=1,1,0)</f>
        <v>1</v>
      </c>
      <c r="I110" s="61">
        <v>0.22</v>
      </c>
      <c r="J110" s="97">
        <v>805</v>
      </c>
      <c r="K110" s="104">
        <f>K109</f>
        <v>374.42</v>
      </c>
      <c r="L110" s="60" t="s">
        <v>535</v>
      </c>
      <c r="M110" s="60"/>
      <c r="N110" s="60"/>
      <c r="O110" s="85">
        <f>K110*J110*I110*H110</f>
        <v>66309.782000000007</v>
      </c>
      <c r="P110" s="62" t="s">
        <v>15</v>
      </c>
      <c r="Q110" s="60" t="s">
        <v>530</v>
      </c>
    </row>
    <row r="111" spans="2:17" ht="15.75" thickBot="1" x14ac:dyDescent="0.3">
      <c r="B111" s="302"/>
      <c r="C111" s="302"/>
      <c r="D111" s="299"/>
      <c r="E111" s="59" t="s">
        <v>201</v>
      </c>
      <c r="F111" s="78" t="s">
        <v>57</v>
      </c>
      <c r="G111" s="79" t="str">
        <f>VLOOKUP('Building &amp; Material inputs'!E204,'Building &amp; Material inputs'!C206:D211,2,0)</f>
        <v>MWOOL</v>
      </c>
      <c r="H111" s="243">
        <f>IF('Building &amp; Material inputs'!D143=1,1,0)</f>
        <v>1</v>
      </c>
      <c r="I111" s="61">
        <v>7.0000000000000007E-2</v>
      </c>
      <c r="J111" s="61">
        <v>152</v>
      </c>
      <c r="K111" s="104">
        <f>K110</f>
        <v>374.42</v>
      </c>
      <c r="L111" s="60" t="s">
        <v>535</v>
      </c>
      <c r="M111" s="60"/>
      <c r="N111" s="60"/>
      <c r="O111" s="85">
        <f>K111*I111*H111</f>
        <v>26.209400000000002</v>
      </c>
      <c r="P111" s="62" t="s">
        <v>14</v>
      </c>
      <c r="Q111" s="60" t="s">
        <v>482</v>
      </c>
    </row>
    <row r="112" spans="2:17" ht="15" customHeight="1" x14ac:dyDescent="0.25">
      <c r="B112" s="302"/>
      <c r="C112" s="302"/>
      <c r="D112" s="299"/>
      <c r="E112" s="59" t="s">
        <v>202</v>
      </c>
      <c r="F112" s="60" t="s">
        <v>61</v>
      </c>
      <c r="G112" s="60" t="str">
        <f>'Material impact data'!E47</f>
        <v>GYP_P</v>
      </c>
      <c r="H112" s="239">
        <f>IF('Building &amp; Material inputs'!D143=1,1,0)</f>
        <v>1</v>
      </c>
      <c r="I112" s="61"/>
      <c r="J112" s="61"/>
      <c r="K112" s="104">
        <f>K111</f>
        <v>374.42</v>
      </c>
      <c r="L112" s="60" t="s">
        <v>535</v>
      </c>
      <c r="M112" s="60"/>
      <c r="N112" s="60"/>
      <c r="O112" s="85">
        <f>K112*H112</f>
        <v>374.42</v>
      </c>
      <c r="P112" s="62" t="s">
        <v>332</v>
      </c>
      <c r="Q112" s="60" t="s">
        <v>467</v>
      </c>
    </row>
    <row r="113" spans="2:20" ht="15" customHeight="1" x14ac:dyDescent="0.25">
      <c r="B113" s="302"/>
      <c r="C113" s="302"/>
      <c r="D113" s="303" t="s">
        <v>164</v>
      </c>
      <c r="E113" s="65" t="s">
        <v>203</v>
      </c>
      <c r="F113" s="66" t="s">
        <v>367</v>
      </c>
      <c r="G113" s="66" t="str">
        <f>G87</f>
        <v>GYP_P</v>
      </c>
      <c r="H113" s="238">
        <f>IF('Building &amp; Material inputs'!D143=2,1,0)</f>
        <v>0</v>
      </c>
      <c r="I113" s="66"/>
      <c r="J113" s="66"/>
      <c r="K113" s="105">
        <f t="shared" ref="K113:K119" si="5">K112</f>
        <v>374.42</v>
      </c>
      <c r="L113" s="66" t="s">
        <v>535</v>
      </c>
      <c r="M113" s="67"/>
      <c r="N113" s="66"/>
      <c r="O113" s="89">
        <f>K113*H113</f>
        <v>0</v>
      </c>
      <c r="P113" s="68" t="s">
        <v>332</v>
      </c>
      <c r="Q113" s="66" t="s">
        <v>467</v>
      </c>
    </row>
    <row r="114" spans="2:20" ht="15" customHeight="1" x14ac:dyDescent="0.25">
      <c r="B114" s="302"/>
      <c r="C114" s="302"/>
      <c r="D114" s="303"/>
      <c r="E114" s="65" t="s">
        <v>204</v>
      </c>
      <c r="F114" s="66" t="s">
        <v>62</v>
      </c>
      <c r="G114" s="66" t="s">
        <v>301</v>
      </c>
      <c r="H114" s="238">
        <f>IF('Building &amp; Material inputs'!D143=2,1,0)</f>
        <v>0</v>
      </c>
      <c r="I114" s="74">
        <v>0.1</v>
      </c>
      <c r="J114" s="66"/>
      <c r="K114" s="105">
        <f t="shared" si="5"/>
        <v>374.42</v>
      </c>
      <c r="L114" s="66" t="s">
        <v>535</v>
      </c>
      <c r="M114" s="66"/>
      <c r="N114" s="66"/>
      <c r="O114" s="89">
        <f>K114*I114*H114</f>
        <v>0</v>
      </c>
      <c r="P114" s="68" t="s">
        <v>14</v>
      </c>
      <c r="Q114" s="66" t="s">
        <v>482</v>
      </c>
    </row>
    <row r="115" spans="2:20" ht="15" customHeight="1" thickBot="1" x14ac:dyDescent="0.3">
      <c r="B115" s="302"/>
      <c r="C115" s="302"/>
      <c r="D115" s="303"/>
      <c r="E115" s="80" t="s">
        <v>178</v>
      </c>
      <c r="F115" s="66" t="s">
        <v>605</v>
      </c>
      <c r="G115" s="96" t="s">
        <v>380</v>
      </c>
      <c r="H115" s="238">
        <f>IF('Building &amp; Material inputs'!D143=2,1,0)</f>
        <v>0</v>
      </c>
      <c r="I115" s="66"/>
      <c r="J115" s="66"/>
      <c r="K115" s="67">
        <v>4</v>
      </c>
      <c r="L115" s="66" t="s">
        <v>485</v>
      </c>
      <c r="M115" s="66"/>
      <c r="N115" s="66"/>
      <c r="O115" s="89">
        <f>K115*H115*O114</f>
        <v>0</v>
      </c>
      <c r="P115" s="68" t="s">
        <v>15</v>
      </c>
      <c r="Q115" s="66" t="s">
        <v>486</v>
      </c>
    </row>
    <row r="116" spans="2:20" ht="15" customHeight="1" thickBot="1" x14ac:dyDescent="0.3">
      <c r="B116" s="302"/>
      <c r="C116" s="302"/>
      <c r="D116" s="303"/>
      <c r="E116" s="65" t="s">
        <v>205</v>
      </c>
      <c r="F116" s="66" t="s">
        <v>57</v>
      </c>
      <c r="G116" s="72" t="str">
        <f>VLOOKUP('Building &amp; Material inputs'!E204,'Building &amp; Material inputs'!C206:D211,2,0)</f>
        <v>MWOOL</v>
      </c>
      <c r="H116" s="238">
        <f>IF('Building &amp; Material inputs'!D143=2,1,0)</f>
        <v>0</v>
      </c>
      <c r="I116" s="70">
        <v>0.05</v>
      </c>
      <c r="J116" s="66"/>
      <c r="K116" s="105">
        <f>K114</f>
        <v>374.42</v>
      </c>
      <c r="L116" s="66" t="s">
        <v>535</v>
      </c>
      <c r="M116" s="66"/>
      <c r="N116" s="66"/>
      <c r="O116" s="89">
        <f>K116*I116*H116</f>
        <v>0</v>
      </c>
      <c r="P116" s="68" t="s">
        <v>14</v>
      </c>
      <c r="Q116" s="66" t="s">
        <v>482</v>
      </c>
    </row>
    <row r="117" spans="2:20" ht="15" customHeight="1" x14ac:dyDescent="0.25">
      <c r="B117" s="302"/>
      <c r="C117" s="302"/>
      <c r="D117" s="303"/>
      <c r="E117" s="65" t="s">
        <v>206</v>
      </c>
      <c r="F117" s="66" t="s">
        <v>96</v>
      </c>
      <c r="G117" s="73" t="s">
        <v>279</v>
      </c>
      <c r="H117" s="238">
        <f>IF('Building &amp; Material inputs'!D143=2,1,0)</f>
        <v>0</v>
      </c>
      <c r="I117" s="66"/>
      <c r="J117" s="66"/>
      <c r="K117" s="105">
        <f t="shared" ref="K117" si="6">K116</f>
        <v>374.42</v>
      </c>
      <c r="L117" s="66" t="s">
        <v>535</v>
      </c>
      <c r="M117" s="74">
        <v>4.4999999999999998E-2</v>
      </c>
      <c r="N117" s="66" t="s">
        <v>538</v>
      </c>
      <c r="O117" s="89">
        <f>H117*K117*M117</f>
        <v>0</v>
      </c>
      <c r="P117" s="68" t="s">
        <v>14</v>
      </c>
      <c r="Q117" s="66" t="s">
        <v>492</v>
      </c>
    </row>
    <row r="118" spans="2:20" x14ac:dyDescent="0.25">
      <c r="B118" s="302"/>
      <c r="C118" s="302"/>
      <c r="D118" s="303"/>
      <c r="E118" s="65" t="s">
        <v>207</v>
      </c>
      <c r="F118" s="66" t="s">
        <v>104</v>
      </c>
      <c r="G118" s="66" t="s">
        <v>394</v>
      </c>
      <c r="H118" s="238">
        <f>IF('Building &amp; Material inputs'!D143=2,1,0)</f>
        <v>0</v>
      </c>
      <c r="I118" s="66"/>
      <c r="J118" s="66"/>
      <c r="K118" s="105">
        <f t="shared" si="5"/>
        <v>374.42</v>
      </c>
      <c r="L118" s="66" t="s">
        <v>535</v>
      </c>
      <c r="M118" s="66"/>
      <c r="N118" s="66"/>
      <c r="O118" s="89">
        <f>K118*H118</f>
        <v>0</v>
      </c>
      <c r="P118" s="68" t="s">
        <v>332</v>
      </c>
      <c r="Q118" s="66" t="s">
        <v>467</v>
      </c>
    </row>
    <row r="119" spans="2:20" x14ac:dyDescent="0.25">
      <c r="B119" s="302"/>
      <c r="C119" s="302"/>
      <c r="D119" s="317" t="s">
        <v>165</v>
      </c>
      <c r="E119" s="83" t="s">
        <v>208</v>
      </c>
      <c r="F119" s="84" t="s">
        <v>367</v>
      </c>
      <c r="G119" s="60" t="s">
        <v>374</v>
      </c>
      <c r="H119" s="239">
        <f>IF('Building &amp; Material inputs'!D143=3,1,0)</f>
        <v>0</v>
      </c>
      <c r="I119" s="60"/>
      <c r="J119" s="60"/>
      <c r="K119" s="104">
        <f t="shared" si="5"/>
        <v>374.42</v>
      </c>
      <c r="L119" s="60" t="s">
        <v>535</v>
      </c>
      <c r="M119" s="61"/>
      <c r="N119" s="60"/>
      <c r="O119" s="85">
        <f>K119*H119</f>
        <v>0</v>
      </c>
      <c r="P119" s="62" t="s">
        <v>332</v>
      </c>
      <c r="Q119" s="60" t="s">
        <v>467</v>
      </c>
      <c r="S119" t="s">
        <v>566</v>
      </c>
    </row>
    <row r="120" spans="2:20" ht="15.75" thickBot="1" x14ac:dyDescent="0.3">
      <c r="B120" s="302"/>
      <c r="C120" s="302"/>
      <c r="D120" s="317"/>
      <c r="E120" s="83" t="s">
        <v>209</v>
      </c>
      <c r="F120" s="84" t="s">
        <v>98</v>
      </c>
      <c r="G120" s="77" t="s">
        <v>290</v>
      </c>
      <c r="H120" s="239">
        <f>IF('Building &amp; Material inputs'!D143=3,1,0)</f>
        <v>0</v>
      </c>
      <c r="I120" s="61">
        <v>0.12</v>
      </c>
      <c r="J120" s="97">
        <v>1000</v>
      </c>
      <c r="K120" s="104">
        <f>K119</f>
        <v>374.42</v>
      </c>
      <c r="L120" s="84" t="s">
        <v>535</v>
      </c>
      <c r="M120" s="84"/>
      <c r="N120" s="84"/>
      <c r="O120" s="85">
        <f>K120*J120*I120*H120</f>
        <v>0</v>
      </c>
      <c r="P120" s="86" t="s">
        <v>15</v>
      </c>
      <c r="Q120" s="84" t="s">
        <v>530</v>
      </c>
      <c r="T120" t="s">
        <v>567</v>
      </c>
    </row>
    <row r="121" spans="2:20" ht="15.75" thickBot="1" x14ac:dyDescent="0.3">
      <c r="B121" s="302"/>
      <c r="C121" s="302"/>
      <c r="D121" s="317"/>
      <c r="E121" s="83" t="s">
        <v>210</v>
      </c>
      <c r="F121" s="98" t="s">
        <v>57</v>
      </c>
      <c r="G121" s="99" t="str">
        <f>VLOOKUP('Building &amp; Material inputs'!E204,'Building &amp; Material inputs'!C206:D211,2,0)</f>
        <v>MWOOL</v>
      </c>
      <c r="H121" s="243">
        <f>IF('Building &amp; Material inputs'!D143=3,1,0)</f>
        <v>0</v>
      </c>
      <c r="I121" s="61">
        <v>0.05</v>
      </c>
      <c r="J121" s="60"/>
      <c r="K121" s="104">
        <f>K120</f>
        <v>374.42</v>
      </c>
      <c r="L121" s="60" t="s">
        <v>535</v>
      </c>
      <c r="M121" s="60"/>
      <c r="N121" s="60"/>
      <c r="O121" s="85">
        <f>K121*I121*H121</f>
        <v>0</v>
      </c>
      <c r="P121" s="62" t="s">
        <v>14</v>
      </c>
      <c r="Q121" s="60" t="s">
        <v>482</v>
      </c>
      <c r="S121" s="22" t="s">
        <v>409</v>
      </c>
      <c r="T121" s="7">
        <v>2750</v>
      </c>
    </row>
    <row r="122" spans="2:20" ht="15.75" thickBot="1" x14ac:dyDescent="0.3">
      <c r="B122" s="302"/>
      <c r="C122" s="302"/>
      <c r="D122" s="317"/>
      <c r="E122" s="83" t="s">
        <v>211</v>
      </c>
      <c r="F122" s="98" t="s">
        <v>106</v>
      </c>
      <c r="G122" s="99" t="str">
        <f>IF('Building &amp; Material inputs'!D154=1,'Building &amp; Material inputs'!C156,IF('Building &amp; Material inputs'!D154=2,'Building &amp; Material inputs'!D156,'Building &amp; Material inputs'!E156))</f>
        <v>N-STON</v>
      </c>
      <c r="H122" s="243">
        <f>IF('Building &amp; Material inputs'!D143=3,1,0)</f>
        <v>0</v>
      </c>
      <c r="I122" s="61">
        <v>0.03</v>
      </c>
      <c r="J122" s="61">
        <v>2750</v>
      </c>
      <c r="K122" s="104">
        <f t="shared" ref="K122" si="7">K121</f>
        <v>374.42</v>
      </c>
      <c r="L122" s="60" t="s">
        <v>535</v>
      </c>
      <c r="M122" s="84"/>
      <c r="N122" s="84"/>
      <c r="O122" s="85">
        <f>K122*J122*I122*H122</f>
        <v>0</v>
      </c>
      <c r="P122" s="62" t="s">
        <v>15</v>
      </c>
      <c r="Q122" s="60" t="s">
        <v>487</v>
      </c>
      <c r="S122" s="22" t="s">
        <v>404</v>
      </c>
      <c r="T122" s="7">
        <v>2500</v>
      </c>
    </row>
    <row r="123" spans="2:20" ht="15.75" thickBot="1" x14ac:dyDescent="0.3">
      <c r="B123" s="302"/>
      <c r="C123" s="302" t="s">
        <v>162</v>
      </c>
      <c r="D123" s="9" t="s">
        <v>166</v>
      </c>
      <c r="E123" s="9" t="s">
        <v>212</v>
      </c>
      <c r="F123" s="50" t="s">
        <v>54</v>
      </c>
      <c r="G123" s="12" t="str">
        <f>IF('Building &amp; Material inputs'!D161=1,'Building &amp; Material inputs'!C170,IF('Building &amp; Material inputs'!D161=2,'Building &amp; Material inputs'!D170,'Building &amp; Material inputs'!F169))</f>
        <v>WIN_PVC</v>
      </c>
      <c r="H123" s="245">
        <v>1</v>
      </c>
      <c r="I123" s="7"/>
      <c r="J123" s="7"/>
      <c r="K123" s="103">
        <f>'Building &amp; Material inputs'!D54</f>
        <v>21.54</v>
      </c>
      <c r="L123" s="7" t="s">
        <v>560</v>
      </c>
      <c r="M123" s="7"/>
      <c r="N123" s="7"/>
      <c r="O123" s="92">
        <f>K123*H123</f>
        <v>21.54</v>
      </c>
      <c r="P123" s="93" t="s">
        <v>332</v>
      </c>
      <c r="Q123" s="94" t="s">
        <v>467</v>
      </c>
      <c r="S123" s="22" t="s">
        <v>410</v>
      </c>
      <c r="T123" s="7">
        <v>2200</v>
      </c>
    </row>
    <row r="124" spans="2:20" x14ac:dyDescent="0.25">
      <c r="B124" s="302"/>
      <c r="C124" s="302"/>
      <c r="D124" s="302" t="s">
        <v>167</v>
      </c>
      <c r="E124" s="9" t="s">
        <v>213</v>
      </c>
      <c r="F124" s="7" t="s">
        <v>430</v>
      </c>
      <c r="G124" s="10" t="s">
        <v>429</v>
      </c>
      <c r="H124" s="106">
        <v>1</v>
      </c>
      <c r="I124" s="7"/>
      <c r="J124" s="7"/>
      <c r="K124" s="103">
        <f>'Building &amp; Material inputs'!D53</f>
        <v>4</v>
      </c>
      <c r="L124" s="7" t="s">
        <v>560</v>
      </c>
      <c r="M124" s="7"/>
      <c r="N124" s="7"/>
      <c r="O124" s="92">
        <f>K124*H124</f>
        <v>4</v>
      </c>
      <c r="P124" s="93" t="s">
        <v>14</v>
      </c>
      <c r="Q124" s="94" t="s">
        <v>561</v>
      </c>
    </row>
    <row r="125" spans="2:20" x14ac:dyDescent="0.25">
      <c r="B125" s="302"/>
      <c r="C125" s="302"/>
      <c r="D125" s="302"/>
      <c r="E125" s="9" t="s">
        <v>214</v>
      </c>
      <c r="F125" s="7" t="s">
        <v>426</v>
      </c>
      <c r="G125" s="7" t="s">
        <v>425</v>
      </c>
      <c r="H125" s="106">
        <v>1</v>
      </c>
      <c r="I125" s="7"/>
      <c r="J125" s="7"/>
      <c r="K125" s="103">
        <f>'Building &amp; Material inputs'!D52</f>
        <v>4</v>
      </c>
      <c r="L125" s="7" t="s">
        <v>560</v>
      </c>
      <c r="M125" s="7"/>
      <c r="N125" s="7"/>
      <c r="O125" s="92">
        <f t="shared" ref="O125" si="8">K125*H125</f>
        <v>4</v>
      </c>
      <c r="P125" s="93" t="s">
        <v>14</v>
      </c>
      <c r="Q125" s="94" t="s">
        <v>562</v>
      </c>
      <c r="S125" t="s">
        <v>565</v>
      </c>
    </row>
    <row r="126" spans="2:20" x14ac:dyDescent="0.25">
      <c r="B126" s="302"/>
      <c r="C126" s="302"/>
      <c r="D126" s="302"/>
      <c r="E126" s="9"/>
      <c r="F126" s="7"/>
      <c r="G126" s="7"/>
      <c r="H126" s="106"/>
      <c r="I126" s="7"/>
      <c r="J126" s="7"/>
      <c r="K126" s="7"/>
      <c r="L126" s="7"/>
      <c r="M126" s="7"/>
      <c r="N126" s="7"/>
      <c r="O126" s="38"/>
      <c r="P126" s="42"/>
      <c r="Q126" s="7"/>
      <c r="S126" s="22" t="s">
        <v>413</v>
      </c>
    </row>
    <row r="127" spans="2:20" x14ac:dyDescent="0.25">
      <c r="B127" s="302" t="s">
        <v>73</v>
      </c>
      <c r="C127" s="303" t="s">
        <v>497</v>
      </c>
      <c r="D127" s="303" t="s">
        <v>169</v>
      </c>
      <c r="E127" s="65" t="s">
        <v>215</v>
      </c>
      <c r="F127" s="66" t="s">
        <v>433</v>
      </c>
      <c r="G127" s="66" t="s">
        <v>331</v>
      </c>
      <c r="H127" s="238">
        <f>IF('Building &amp; Material inputs'!D172=1,1,0)</f>
        <v>1</v>
      </c>
      <c r="I127" s="66"/>
      <c r="J127" s="67">
        <v>2300</v>
      </c>
      <c r="K127" s="105">
        <f>'Building &amp; Material inputs'!D55</f>
        <v>134.32999999999998</v>
      </c>
      <c r="L127" s="66" t="s">
        <v>563</v>
      </c>
      <c r="M127" s="66"/>
      <c r="N127" s="66"/>
      <c r="O127" s="89">
        <f>K127*H127</f>
        <v>134.32999999999998</v>
      </c>
      <c r="P127" s="68" t="s">
        <v>332</v>
      </c>
      <c r="Q127" s="66" t="s">
        <v>467</v>
      </c>
      <c r="S127" s="22" t="s">
        <v>416</v>
      </c>
    </row>
    <row r="128" spans="2:20" x14ac:dyDescent="0.25">
      <c r="B128" s="302"/>
      <c r="C128" s="303"/>
      <c r="D128" s="303"/>
      <c r="E128" s="65" t="s">
        <v>216</v>
      </c>
      <c r="F128" s="66" t="s">
        <v>168</v>
      </c>
      <c r="G128" s="66" t="s">
        <v>435</v>
      </c>
      <c r="H128" s="238">
        <f>IF('Building &amp; Material inputs'!D172=2,1,0)</f>
        <v>0</v>
      </c>
      <c r="I128" s="67">
        <v>0.15</v>
      </c>
      <c r="J128" s="67">
        <v>1800</v>
      </c>
      <c r="K128" s="105">
        <f>K127</f>
        <v>134.32999999999998</v>
      </c>
      <c r="L128" s="66" t="s">
        <v>563</v>
      </c>
      <c r="M128" s="66"/>
      <c r="N128" s="66"/>
      <c r="O128" s="89">
        <f>K128*J128*I128*H128</f>
        <v>0</v>
      </c>
      <c r="P128" s="68" t="s">
        <v>15</v>
      </c>
      <c r="Q128" s="66" t="s">
        <v>487</v>
      </c>
      <c r="S128" s="22" t="s">
        <v>417</v>
      </c>
    </row>
    <row r="129" spans="2:21" ht="15.75" thickBot="1" x14ac:dyDescent="0.3">
      <c r="B129" s="302"/>
      <c r="C129" s="303"/>
      <c r="D129" s="80" t="s">
        <v>170</v>
      </c>
      <c r="E129" s="80" t="s">
        <v>217</v>
      </c>
      <c r="F129" s="81" t="s">
        <v>55</v>
      </c>
      <c r="G129" s="66" t="s">
        <v>438</v>
      </c>
      <c r="H129" s="238">
        <v>1</v>
      </c>
      <c r="I129" s="66"/>
      <c r="J129" s="66"/>
      <c r="K129" s="105">
        <f t="shared" ref="K129" si="9">K128</f>
        <v>134.32999999999998</v>
      </c>
      <c r="L129" s="66" t="s">
        <v>563</v>
      </c>
      <c r="M129" s="66"/>
      <c r="N129" s="66"/>
      <c r="O129" s="89">
        <f>K129*H129</f>
        <v>134.32999999999998</v>
      </c>
      <c r="P129" s="68" t="s">
        <v>332</v>
      </c>
      <c r="Q129" s="66" t="s">
        <v>467</v>
      </c>
    </row>
    <row r="130" spans="2:21" ht="15.75" thickBot="1" x14ac:dyDescent="0.3">
      <c r="B130" s="302"/>
      <c r="C130" s="303"/>
      <c r="D130" s="80" t="s">
        <v>171</v>
      </c>
      <c r="E130" s="80" t="s">
        <v>225</v>
      </c>
      <c r="F130" s="66" t="s">
        <v>57</v>
      </c>
      <c r="G130" s="72" t="str">
        <f>VLOOKUP('Building &amp; Material inputs'!E204,'Building &amp; Material inputs'!C206:D211,2,0)</f>
        <v>MWOOL</v>
      </c>
      <c r="H130" s="238">
        <v>1</v>
      </c>
      <c r="I130" s="70">
        <v>7.0000000000000007E-2</v>
      </c>
      <c r="J130" s="66"/>
      <c r="K130" s="105">
        <f>K129</f>
        <v>134.32999999999998</v>
      </c>
      <c r="L130" s="66" t="s">
        <v>535</v>
      </c>
      <c r="M130" s="66"/>
      <c r="N130" s="66"/>
      <c r="O130" s="89">
        <f>K130*I130*H130</f>
        <v>9.4031000000000002</v>
      </c>
      <c r="P130" s="68" t="s">
        <v>14</v>
      </c>
      <c r="Q130" s="66" t="s">
        <v>482</v>
      </c>
      <c r="T130" s="336" t="s">
        <v>569</v>
      </c>
      <c r="U130" s="337"/>
    </row>
    <row r="131" spans="2:21" x14ac:dyDescent="0.25">
      <c r="B131" s="302"/>
      <c r="C131" s="303"/>
      <c r="D131" s="65" t="s">
        <v>226</v>
      </c>
      <c r="E131" s="80" t="s">
        <v>227</v>
      </c>
      <c r="F131" s="66" t="s">
        <v>59</v>
      </c>
      <c r="G131" s="66" t="s">
        <v>533</v>
      </c>
      <c r="H131" s="238">
        <v>1</v>
      </c>
      <c r="I131" s="70">
        <v>0.03</v>
      </c>
      <c r="J131" s="75">
        <v>1600</v>
      </c>
      <c r="K131" s="105">
        <f t="shared" ref="K131" si="10">K130</f>
        <v>134.32999999999998</v>
      </c>
      <c r="L131" s="66" t="s">
        <v>535</v>
      </c>
      <c r="M131" s="66"/>
      <c r="N131" s="66"/>
      <c r="O131" s="89">
        <f>K131*I131*J131*H131</f>
        <v>6447.8399999999992</v>
      </c>
      <c r="P131" s="68" t="s">
        <v>15</v>
      </c>
      <c r="Q131" s="71" t="s">
        <v>530</v>
      </c>
      <c r="T131" s="7" t="s">
        <v>445</v>
      </c>
      <c r="U131" s="9" t="s">
        <v>471</v>
      </c>
    </row>
    <row r="132" spans="2:21" x14ac:dyDescent="0.25">
      <c r="B132" s="302"/>
      <c r="C132" s="299" t="s">
        <v>498</v>
      </c>
      <c r="D132" s="76" t="s">
        <v>218</v>
      </c>
      <c r="E132" s="76" t="s">
        <v>228</v>
      </c>
      <c r="F132" s="82" t="s">
        <v>107</v>
      </c>
      <c r="G132" s="60" t="s">
        <v>315</v>
      </c>
      <c r="H132" s="239">
        <v>1</v>
      </c>
      <c r="I132" s="60"/>
      <c r="J132" s="60"/>
      <c r="K132" s="104">
        <f>'Building &amp; Material inputs'!D56</f>
        <v>86.22</v>
      </c>
      <c r="L132" s="60" t="s">
        <v>564</v>
      </c>
      <c r="M132" s="61">
        <v>40</v>
      </c>
      <c r="N132" s="60" t="s">
        <v>568</v>
      </c>
      <c r="O132" s="85">
        <f>M132*K132*H132/COS(T132*PI()/180)</f>
        <v>3670.1363017149256</v>
      </c>
      <c r="P132" s="62" t="s">
        <v>15</v>
      </c>
      <c r="Q132" s="78" t="s">
        <v>571</v>
      </c>
      <c r="T132" s="37">
        <f>'Building &amp; Material inputs'!D57</f>
        <v>20</v>
      </c>
      <c r="U132" s="7" t="s">
        <v>570</v>
      </c>
    </row>
    <row r="133" spans="2:21" x14ac:dyDescent="0.25">
      <c r="B133" s="302"/>
      <c r="C133" s="299"/>
      <c r="D133" s="76" t="s">
        <v>219</v>
      </c>
      <c r="E133" s="76" t="s">
        <v>229</v>
      </c>
      <c r="F133" s="60" t="s">
        <v>59</v>
      </c>
      <c r="G133" s="60" t="s">
        <v>533</v>
      </c>
      <c r="H133" s="239">
        <v>1</v>
      </c>
      <c r="I133" s="61">
        <v>0.02</v>
      </c>
      <c r="J133" s="61">
        <v>1600</v>
      </c>
      <c r="K133" s="104">
        <f>K132</f>
        <v>86.22</v>
      </c>
      <c r="L133" s="60" t="s">
        <v>564</v>
      </c>
      <c r="M133" s="60"/>
      <c r="N133" s="60"/>
      <c r="O133" s="85">
        <f>K133*I133*J133*H133/COS(PI()*T133/180)</f>
        <v>2936.1090413719403</v>
      </c>
      <c r="P133" s="62" t="s">
        <v>15</v>
      </c>
      <c r="Q133" s="60" t="s">
        <v>572</v>
      </c>
      <c r="T133" s="37">
        <f>T132</f>
        <v>20</v>
      </c>
      <c r="U133" s="7" t="s">
        <v>570</v>
      </c>
    </row>
    <row r="134" spans="2:21" x14ac:dyDescent="0.25">
      <c r="B134" s="302"/>
      <c r="C134" s="299"/>
      <c r="D134" s="76" t="s">
        <v>221</v>
      </c>
      <c r="E134" s="76" t="s">
        <v>230</v>
      </c>
      <c r="F134" s="82" t="s">
        <v>55</v>
      </c>
      <c r="G134" s="60" t="s">
        <v>438</v>
      </c>
      <c r="H134" s="239">
        <v>1</v>
      </c>
      <c r="I134" s="60"/>
      <c r="J134" s="60"/>
      <c r="K134" s="104">
        <f>K133</f>
        <v>86.22</v>
      </c>
      <c r="L134" s="60" t="s">
        <v>564</v>
      </c>
      <c r="M134" s="60"/>
      <c r="N134" s="60"/>
      <c r="O134" s="85">
        <f>K134*H134/COS(PI()*T134/180)</f>
        <v>91.753407542873134</v>
      </c>
      <c r="P134" s="62" t="s">
        <v>332</v>
      </c>
      <c r="Q134" s="60" t="s">
        <v>573</v>
      </c>
      <c r="T134" s="37">
        <f t="shared" ref="T134:T136" si="11">T133</f>
        <v>20</v>
      </c>
      <c r="U134" s="7" t="s">
        <v>570</v>
      </c>
    </row>
    <row r="135" spans="2:21" x14ac:dyDescent="0.25">
      <c r="B135" s="302"/>
      <c r="C135" s="299"/>
      <c r="D135" s="299" t="s">
        <v>222</v>
      </c>
      <c r="E135" s="80" t="s">
        <v>231</v>
      </c>
      <c r="F135" s="66" t="s">
        <v>63</v>
      </c>
      <c r="G135" s="96" t="s">
        <v>290</v>
      </c>
      <c r="H135" s="238">
        <f>IF('Building &amp; Material inputs'!E200=2,IF('Building &amp; Material inputs'!D185=1,1,0),0)</f>
        <v>1</v>
      </c>
      <c r="I135" s="67">
        <v>0.03</v>
      </c>
      <c r="J135" s="67">
        <v>1030</v>
      </c>
      <c r="K135" s="105">
        <f t="shared" ref="K135:K138" si="12">K134</f>
        <v>86.22</v>
      </c>
      <c r="L135" s="66" t="s">
        <v>564</v>
      </c>
      <c r="M135" s="66"/>
      <c r="N135" s="66"/>
      <c r="O135" s="89">
        <f>K135*J135*I135*H135/COS(PI()*T135/180)</f>
        <v>2835.1802930747799</v>
      </c>
      <c r="P135" s="68" t="s">
        <v>15</v>
      </c>
      <c r="Q135" s="66" t="s">
        <v>572</v>
      </c>
      <c r="T135" s="37">
        <f t="shared" si="11"/>
        <v>20</v>
      </c>
      <c r="U135" s="7" t="s">
        <v>570</v>
      </c>
    </row>
    <row r="136" spans="2:21" x14ac:dyDescent="0.25">
      <c r="B136" s="302"/>
      <c r="C136" s="299"/>
      <c r="D136" s="299"/>
      <c r="E136" s="76" t="s">
        <v>232</v>
      </c>
      <c r="F136" s="60" t="s">
        <v>220</v>
      </c>
      <c r="G136" s="60" t="s">
        <v>339</v>
      </c>
      <c r="H136" s="239">
        <f>IF('Building &amp; Material inputs'!E200=2,IF('Building &amp; Material inputs'!D185=2,1,0),0)</f>
        <v>0</v>
      </c>
      <c r="I136" s="61">
        <v>0.03</v>
      </c>
      <c r="J136" s="60"/>
      <c r="K136" s="104">
        <f t="shared" si="12"/>
        <v>86.22</v>
      </c>
      <c r="L136" s="60" t="s">
        <v>564</v>
      </c>
      <c r="M136" s="60"/>
      <c r="N136" s="60"/>
      <c r="O136" s="85">
        <f>K136*I136*H136</f>
        <v>0</v>
      </c>
      <c r="P136" s="62" t="s">
        <v>14</v>
      </c>
      <c r="Q136" s="60" t="s">
        <v>482</v>
      </c>
      <c r="T136" s="37">
        <f t="shared" si="11"/>
        <v>20</v>
      </c>
      <c r="U136" s="7" t="s">
        <v>570</v>
      </c>
    </row>
    <row r="137" spans="2:21" x14ac:dyDescent="0.25">
      <c r="B137" s="302"/>
      <c r="C137" s="299"/>
      <c r="D137" s="299" t="s">
        <v>223</v>
      </c>
      <c r="E137" s="80" t="s">
        <v>233</v>
      </c>
      <c r="F137" s="81" t="s">
        <v>58</v>
      </c>
      <c r="G137" s="96" t="s">
        <v>290</v>
      </c>
      <c r="H137" s="238">
        <f>IF('Building &amp; Material inputs'!E200=2,IF('Building &amp; Material inputs'!D185=1,1,0),0)</f>
        <v>1</v>
      </c>
      <c r="I137" s="67">
        <v>4.4999999999999998E-2</v>
      </c>
      <c r="J137" s="67">
        <f>J78*0.6</f>
        <v>483</v>
      </c>
      <c r="K137" s="105">
        <f t="shared" si="12"/>
        <v>86.22</v>
      </c>
      <c r="L137" s="66" t="s">
        <v>564</v>
      </c>
      <c r="M137" s="70">
        <v>0.8</v>
      </c>
      <c r="N137" s="66" t="s">
        <v>574</v>
      </c>
      <c r="O137" s="89">
        <f>H137*I137*((K137^0.5)/M137)*(TAN(PI()*T137/180)*0.25*K137*J137)</f>
        <v>1979.190338147728</v>
      </c>
      <c r="P137" s="68" t="s">
        <v>15</v>
      </c>
      <c r="Q137" s="66" t="s">
        <v>575</v>
      </c>
      <c r="T137" s="37">
        <f t="shared" ref="T137" si="13">T136</f>
        <v>20</v>
      </c>
      <c r="U137" s="7" t="s">
        <v>570</v>
      </c>
    </row>
    <row r="138" spans="2:21" ht="15.75" thickBot="1" x14ac:dyDescent="0.3">
      <c r="B138" s="302"/>
      <c r="C138" s="299"/>
      <c r="D138" s="299"/>
      <c r="E138" s="76" t="s">
        <v>234</v>
      </c>
      <c r="F138" s="82" t="s">
        <v>108</v>
      </c>
      <c r="G138" s="77" t="s">
        <v>279</v>
      </c>
      <c r="H138" s="239">
        <f>IF('Building &amp; Material inputs'!E200=2,IF('Building &amp; Material inputs'!D185=2,1,0),0)</f>
        <v>0</v>
      </c>
      <c r="I138" s="63">
        <v>0.05</v>
      </c>
      <c r="J138" s="60"/>
      <c r="K138" s="104">
        <f t="shared" si="12"/>
        <v>86.22</v>
      </c>
      <c r="L138" s="60" t="s">
        <v>564</v>
      </c>
      <c r="M138" s="63">
        <v>0.6</v>
      </c>
      <c r="N138" s="85" t="s">
        <v>574</v>
      </c>
      <c r="O138" s="85">
        <f>nr*e*0.05*(((Par_1^0.5)/COS(PI()*Par_3/180))+(Par_1^0.5)+(Par_1/Par_2)*0.25*TAN(PI()*Par_3/180))*(Par_1^0.5)/Par_2</f>
        <v>0</v>
      </c>
      <c r="P138" s="62" t="s">
        <v>14</v>
      </c>
      <c r="Q138" s="66" t="s">
        <v>576</v>
      </c>
      <c r="T138" s="37">
        <v>20</v>
      </c>
      <c r="U138" s="7" t="s">
        <v>570</v>
      </c>
    </row>
    <row r="139" spans="2:21" ht="15.75" thickBot="1" x14ac:dyDescent="0.3">
      <c r="B139" s="302"/>
      <c r="C139" s="299"/>
      <c r="D139" s="76" t="s">
        <v>224</v>
      </c>
      <c r="E139" s="76" t="s">
        <v>235</v>
      </c>
      <c r="F139" s="78" t="s">
        <v>57</v>
      </c>
      <c r="G139" s="100" t="str">
        <f>VLOOKUP('Building &amp; Material inputs'!E204,'Building &amp; Material inputs'!C206:D211,2,0)</f>
        <v>MWOOL</v>
      </c>
      <c r="H139" s="243">
        <f>IF('Building &amp; Material inputs'!E200=2,1,0)</f>
        <v>1</v>
      </c>
      <c r="I139" s="63">
        <v>0.05</v>
      </c>
      <c r="J139" s="60"/>
      <c r="K139" s="104">
        <f>K138</f>
        <v>86.22</v>
      </c>
      <c r="L139" s="60" t="s">
        <v>564</v>
      </c>
      <c r="M139" s="60"/>
      <c r="N139" s="60"/>
      <c r="O139" s="85">
        <f>K139*I139*H139</f>
        <v>4.3109999999999999</v>
      </c>
      <c r="P139" s="62" t="s">
        <v>14</v>
      </c>
      <c r="Q139" s="60" t="s">
        <v>482</v>
      </c>
      <c r="T139" s="37"/>
      <c r="U139" s="7"/>
    </row>
    <row r="140" spans="2:21" x14ac:dyDescent="0.25">
      <c r="B140" s="338"/>
      <c r="C140" s="338"/>
      <c r="D140" s="338"/>
      <c r="E140" s="9"/>
      <c r="F140" s="7"/>
      <c r="G140" s="10"/>
      <c r="H140" s="36"/>
      <c r="I140" s="7"/>
      <c r="J140" s="7"/>
      <c r="K140" s="7"/>
      <c r="L140" s="7"/>
      <c r="M140" s="7"/>
      <c r="N140" s="7"/>
      <c r="O140" s="58"/>
      <c r="P140" s="42"/>
      <c r="Q140" s="7"/>
    </row>
    <row r="143" spans="2:21" x14ac:dyDescent="0.25">
      <c r="Q143" s="101"/>
    </row>
    <row r="193" spans="25:25" ht="18.75" x14ac:dyDescent="0.3">
      <c r="Y193" s="20" t="s">
        <v>236</v>
      </c>
    </row>
    <row r="195" spans="25:25" ht="18.75" x14ac:dyDescent="0.3">
      <c r="Y195" s="20" t="s">
        <v>237</v>
      </c>
    </row>
  </sheetData>
  <mergeCells count="60">
    <mergeCell ref="B140:D140"/>
    <mergeCell ref="I18:N18"/>
    <mergeCell ref="D95:D102"/>
    <mergeCell ref="D137:D138"/>
    <mergeCell ref="D135:D136"/>
    <mergeCell ref="C132:C139"/>
    <mergeCell ref="C127:C131"/>
    <mergeCell ref="D127:D128"/>
    <mergeCell ref="B22:B37"/>
    <mergeCell ref="B109:B125"/>
    <mergeCell ref="C109:C122"/>
    <mergeCell ref="C123:C125"/>
    <mergeCell ref="B39:B63"/>
    <mergeCell ref="C20:D20"/>
    <mergeCell ref="E6:O8"/>
    <mergeCell ref="D65:D67"/>
    <mergeCell ref="K19:L19"/>
    <mergeCell ref="T130:U130"/>
    <mergeCell ref="B126:D126"/>
    <mergeCell ref="S43:W46"/>
    <mergeCell ref="S24:W26"/>
    <mergeCell ref="D59:D60"/>
    <mergeCell ref="C39:C60"/>
    <mergeCell ref="B64:D64"/>
    <mergeCell ref="B38:D38"/>
    <mergeCell ref="D33:D35"/>
    <mergeCell ref="C36:D37"/>
    <mergeCell ref="C24:C35"/>
    <mergeCell ref="S31:W37"/>
    <mergeCell ref="B127:B139"/>
    <mergeCell ref="C65:C77"/>
    <mergeCell ref="D76:D77"/>
    <mergeCell ref="D78:D79"/>
    <mergeCell ref="C78:C94"/>
    <mergeCell ref="D80:D82"/>
    <mergeCell ref="D88:D90"/>
    <mergeCell ref="C95:C107"/>
    <mergeCell ref="D103:D107"/>
    <mergeCell ref="D113:D118"/>
    <mergeCell ref="D119:D122"/>
    <mergeCell ref="D124:D125"/>
    <mergeCell ref="D72:D75"/>
    <mergeCell ref="C61:D63"/>
    <mergeCell ref="B65:B107"/>
    <mergeCell ref="D109:D112"/>
    <mergeCell ref="D68:D71"/>
    <mergeCell ref="O19:P19"/>
    <mergeCell ref="M19:N19"/>
    <mergeCell ref="D91:D92"/>
    <mergeCell ref="D83:D87"/>
    <mergeCell ref="D39:D43"/>
    <mergeCell ref="D44:D48"/>
    <mergeCell ref="D49:D50"/>
    <mergeCell ref="D51:D53"/>
    <mergeCell ref="D54:D58"/>
    <mergeCell ref="D24:D26"/>
    <mergeCell ref="D27:D29"/>
    <mergeCell ref="D30:D32"/>
    <mergeCell ref="B108:D108"/>
    <mergeCell ref="C22:D23"/>
  </mergeCells>
  <phoneticPr fontId="4" type="noConversion"/>
  <pageMargins left="1.4960629921259843" right="0.70866141732283472" top="0.74803149606299213" bottom="0.74803149606299213" header="0.31496062992125984" footer="0.31496062992125984"/>
  <pageSetup paperSize="9" scale="45" fitToHeight="6" orientation="landscape" horizontalDpi="1200" verticalDpi="1200" r:id="rId1"/>
  <headerFooter>
    <oddFooter>&amp;C&amp;D
Page &amp;P</oddFooter>
  </headerFooter>
  <rowBreaks count="2" manualBreakCount="2">
    <brk id="142" min="1" max="16" man="1"/>
    <brk id="191" min="1" max="16" man="1"/>
  </rowBreaks>
  <drawing r:id="rId2"/>
  <legacyDrawing r:id="rId3"/>
  <oleObjects>
    <mc:AlternateContent xmlns:mc="http://schemas.openxmlformats.org/markup-compatibility/2006">
      <mc:Choice Requires="x14">
        <oleObject progId="Equation.DSMT4" shapeId="1028" r:id="rId4">
          <objectPr defaultSize="0" autoPict="0" r:id="rId5">
            <anchor moveWithCells="1" sizeWithCells="1">
              <from>
                <xdr:col>2</xdr:col>
                <xdr:colOff>190500</xdr:colOff>
                <xdr:row>143</xdr:row>
                <xdr:rowOff>171450</xdr:rowOff>
              </from>
              <to>
                <xdr:col>3</xdr:col>
                <xdr:colOff>628650</xdr:colOff>
                <xdr:row>145</xdr:row>
                <xdr:rowOff>123825</xdr:rowOff>
              </to>
            </anchor>
          </objectPr>
        </oleObject>
      </mc:Choice>
      <mc:Fallback>
        <oleObject progId="Equation.DSMT4" shapeId="1028" r:id="rId4"/>
      </mc:Fallback>
    </mc:AlternateContent>
    <mc:AlternateContent xmlns:mc="http://schemas.openxmlformats.org/markup-compatibility/2006">
      <mc:Choice Requires="x14">
        <oleObject progId="Equation.DSMT4" shapeId="1029" r:id="rId6">
          <objectPr defaultSize="0" autoPict="0" r:id="rId7">
            <anchor moveWithCells="1" sizeWithCells="1">
              <from>
                <xdr:col>12</xdr:col>
                <xdr:colOff>104775</xdr:colOff>
                <xdr:row>143</xdr:row>
                <xdr:rowOff>114300</xdr:rowOff>
              </from>
              <to>
                <xdr:col>16</xdr:col>
                <xdr:colOff>1133475</xdr:colOff>
                <xdr:row>144</xdr:row>
                <xdr:rowOff>171450</xdr:rowOff>
              </to>
            </anchor>
          </objectPr>
        </oleObject>
      </mc:Choice>
      <mc:Fallback>
        <oleObject progId="Equation.DSMT4" shapeId="1029" r:id="rId6"/>
      </mc:Fallback>
    </mc:AlternateContent>
    <mc:AlternateContent xmlns:mc="http://schemas.openxmlformats.org/markup-compatibility/2006">
      <mc:Choice Requires="x14">
        <oleObject progId="Equation.DSMT4" shapeId="1030" r:id="rId8">
          <objectPr defaultSize="0" autoPict="0" r:id="rId9">
            <anchor moveWithCells="1" sizeWithCells="1">
              <from>
                <xdr:col>6</xdr:col>
                <xdr:colOff>76200</xdr:colOff>
                <xdr:row>144</xdr:row>
                <xdr:rowOff>38100</xdr:rowOff>
              </from>
              <to>
                <xdr:col>9</xdr:col>
                <xdr:colOff>657225</xdr:colOff>
                <xdr:row>145</xdr:row>
                <xdr:rowOff>104775</xdr:rowOff>
              </to>
            </anchor>
          </objectPr>
        </oleObject>
      </mc:Choice>
      <mc:Fallback>
        <oleObject progId="Equation.DSMT4" shapeId="1030" r:id="rId8"/>
      </mc:Fallback>
    </mc:AlternateContent>
    <mc:AlternateContent xmlns:mc="http://schemas.openxmlformats.org/markup-compatibility/2006">
      <mc:Choice Requires="x14">
        <oleObject progId="Equation.DSMT4" shapeId="1031" r:id="rId10">
          <objectPr defaultSize="0" autoPict="0" r:id="rId11">
            <anchor moveWithCells="1" sizeWithCells="1">
              <from>
                <xdr:col>2</xdr:col>
                <xdr:colOff>1085850</xdr:colOff>
                <xdr:row>162</xdr:row>
                <xdr:rowOff>95250</xdr:rowOff>
              </from>
              <to>
                <xdr:col>5</xdr:col>
                <xdr:colOff>314325</xdr:colOff>
                <xdr:row>163</xdr:row>
                <xdr:rowOff>171450</xdr:rowOff>
              </to>
            </anchor>
          </objectPr>
        </oleObject>
      </mc:Choice>
      <mc:Fallback>
        <oleObject progId="Equation.DSMT4" shapeId="1031" r:id="rId10"/>
      </mc:Fallback>
    </mc:AlternateContent>
    <mc:AlternateContent xmlns:mc="http://schemas.openxmlformats.org/markup-compatibility/2006">
      <mc:Choice Requires="x14">
        <oleObject progId="Equation.DSMT4" shapeId="1032" r:id="rId12">
          <objectPr defaultSize="0" autoPict="0" r:id="rId13">
            <anchor moveWithCells="1" sizeWithCells="1">
              <from>
                <xdr:col>1</xdr:col>
                <xdr:colOff>190500</xdr:colOff>
                <xdr:row>193</xdr:row>
                <xdr:rowOff>133350</xdr:rowOff>
              </from>
              <to>
                <xdr:col>4</xdr:col>
                <xdr:colOff>9525</xdr:colOff>
                <xdr:row>195</xdr:row>
                <xdr:rowOff>28575</xdr:rowOff>
              </to>
            </anchor>
          </objectPr>
        </oleObject>
      </mc:Choice>
      <mc:Fallback>
        <oleObject progId="Equation.DSMT4" shapeId="1032" r:id="rId12"/>
      </mc:Fallback>
    </mc:AlternateContent>
    <mc:AlternateContent xmlns:mc="http://schemas.openxmlformats.org/markup-compatibility/2006">
      <mc:Choice Requires="x14">
        <oleObject progId="Equation.DSMT4" shapeId="1035" r:id="rId14">
          <objectPr defaultSize="0" autoPict="0" r:id="rId15">
            <anchor moveWithCells="1" sizeWithCells="1">
              <from>
                <xdr:col>3</xdr:col>
                <xdr:colOff>133350</xdr:colOff>
                <xdr:row>220</xdr:row>
                <xdr:rowOff>28575</xdr:rowOff>
              </from>
              <to>
                <xdr:col>3</xdr:col>
                <xdr:colOff>1638300</xdr:colOff>
                <xdr:row>221</xdr:row>
                <xdr:rowOff>171450</xdr:rowOff>
              </to>
            </anchor>
          </objectPr>
        </oleObject>
      </mc:Choice>
      <mc:Fallback>
        <oleObject progId="Equation.DSMT4" shapeId="1035" r:id="rId14"/>
      </mc:Fallback>
    </mc:AlternateContent>
    <mc:AlternateContent xmlns:mc="http://schemas.openxmlformats.org/markup-compatibility/2006">
      <mc:Choice Requires="x14">
        <oleObject progId="Equation.DSMT4" shapeId="1036" r:id="rId16">
          <objectPr defaultSize="0" autoPict="0" r:id="rId17">
            <anchor moveWithCells="1" sizeWithCells="1">
              <from>
                <xdr:col>1</xdr:col>
                <xdr:colOff>180975</xdr:colOff>
                <xdr:row>220</xdr:row>
                <xdr:rowOff>19050</xdr:rowOff>
              </from>
              <to>
                <xdr:col>2</xdr:col>
                <xdr:colOff>1123950</xdr:colOff>
                <xdr:row>221</xdr:row>
                <xdr:rowOff>161925</xdr:rowOff>
              </to>
            </anchor>
          </objectPr>
        </oleObject>
      </mc:Choice>
      <mc:Fallback>
        <oleObject progId="Equation.DSMT4" shapeId="1036" r:id="rId16"/>
      </mc:Fallback>
    </mc:AlternateContent>
    <mc:AlternateContent xmlns:mc="http://schemas.openxmlformats.org/markup-compatibility/2006">
      <mc:Choice Requires="x14">
        <oleObject progId="Equation.DSMT4" shapeId="1037" r:id="rId18">
          <objectPr defaultSize="0" autoPict="0" r:id="rId19">
            <anchor moveWithCells="1" sizeWithCells="1">
              <from>
                <xdr:col>5</xdr:col>
                <xdr:colOff>1009650</xdr:colOff>
                <xdr:row>144</xdr:row>
                <xdr:rowOff>0</xdr:rowOff>
              </from>
              <to>
                <xdr:col>6</xdr:col>
                <xdr:colOff>28575</xdr:colOff>
                <xdr:row>145</xdr:row>
                <xdr:rowOff>95250</xdr:rowOff>
              </to>
            </anchor>
          </objectPr>
        </oleObject>
      </mc:Choice>
      <mc:Fallback>
        <oleObject progId="Equation.DSMT4" shapeId="1037" r:id="rId18"/>
      </mc:Fallback>
    </mc:AlternateContent>
    <mc:AlternateContent xmlns:mc="http://schemas.openxmlformats.org/markup-compatibility/2006">
      <mc:Choice Requires="x14">
        <oleObject progId="Equation.DSMT4" shapeId="1041" r:id="rId20">
          <objectPr defaultSize="0" autoPict="0" r:id="rId21">
            <anchor moveWithCells="1" sizeWithCells="1">
              <from>
                <xdr:col>6</xdr:col>
                <xdr:colOff>323850</xdr:colOff>
                <xdr:row>220</xdr:row>
                <xdr:rowOff>152400</xdr:rowOff>
              </from>
              <to>
                <xdr:col>9</xdr:col>
                <xdr:colOff>514350</xdr:colOff>
                <xdr:row>222</xdr:row>
                <xdr:rowOff>104775</xdr:rowOff>
              </to>
            </anchor>
          </objectPr>
        </oleObject>
      </mc:Choice>
      <mc:Fallback>
        <oleObject progId="Equation.DSMT4" shapeId="1041" r:id="rId20"/>
      </mc:Fallback>
    </mc:AlternateContent>
    <mc:AlternateContent xmlns:mc="http://schemas.openxmlformats.org/markup-compatibility/2006">
      <mc:Choice Requires="x14">
        <oleObject progId="Equation.DSMT4" shapeId="1042" r:id="rId22">
          <objectPr defaultSize="0" autoPict="0" r:id="rId23">
            <anchor moveWithCells="1" sizeWithCells="1">
              <from>
                <xdr:col>5</xdr:col>
                <xdr:colOff>1019175</xdr:colOff>
                <xdr:row>220</xdr:row>
                <xdr:rowOff>171450</xdr:rowOff>
              </from>
              <to>
                <xdr:col>6</xdr:col>
                <xdr:colOff>228600</xdr:colOff>
                <xdr:row>222</xdr:row>
                <xdr:rowOff>104775</xdr:rowOff>
              </to>
            </anchor>
          </objectPr>
        </oleObject>
      </mc:Choice>
      <mc:Fallback>
        <oleObject progId="Equation.DSMT4" shapeId="1042" r:id="rId22"/>
      </mc:Fallback>
    </mc:AlternateContent>
    <mc:AlternateContent xmlns:mc="http://schemas.openxmlformats.org/markup-compatibility/2006">
      <mc:Choice Requires="x14">
        <oleObject progId="Equation.DSMT4" shapeId="1043" r:id="rId24">
          <objectPr defaultSize="0" autoPict="0" r:id="rId25">
            <anchor moveWithCells="1" sizeWithCells="1">
              <from>
                <xdr:col>14</xdr:col>
                <xdr:colOff>504825</xdr:colOff>
                <xdr:row>223</xdr:row>
                <xdr:rowOff>57150</xdr:rowOff>
              </from>
              <to>
                <xdr:col>16</xdr:col>
                <xdr:colOff>1352550</xdr:colOff>
                <xdr:row>225</xdr:row>
                <xdr:rowOff>95250</xdr:rowOff>
              </to>
            </anchor>
          </objectPr>
        </oleObject>
      </mc:Choice>
      <mc:Fallback>
        <oleObject progId="Equation.DSMT4" shapeId="1043" r:id="rId24"/>
      </mc:Fallback>
    </mc:AlternateContent>
    <mc:AlternateContent xmlns:mc="http://schemas.openxmlformats.org/markup-compatibility/2006">
      <mc:Choice Requires="x14">
        <oleObject progId="Equation.DSMT4" shapeId="1045" r:id="rId26">
          <objectPr defaultSize="0" autoPict="0" r:id="rId27">
            <anchor moveWithCells="1" sizeWithCells="1">
              <from>
                <xdr:col>5</xdr:col>
                <xdr:colOff>809625</xdr:colOff>
                <xdr:row>193</xdr:row>
                <xdr:rowOff>104775</xdr:rowOff>
              </from>
              <to>
                <xdr:col>10</xdr:col>
                <xdr:colOff>590550</xdr:colOff>
                <xdr:row>195</xdr:row>
                <xdr:rowOff>47625</xdr:rowOff>
              </to>
            </anchor>
          </objectPr>
        </oleObject>
      </mc:Choice>
      <mc:Fallback>
        <oleObject progId="Equation.DSMT4" shapeId="1045" r:id="rId26"/>
      </mc:Fallback>
    </mc:AlternateContent>
    <mc:AlternateContent xmlns:mc="http://schemas.openxmlformats.org/markup-compatibility/2006">
      <mc:Choice Requires="x14">
        <oleObject progId="Equation.DSMT4" shapeId="1047" r:id="rId28">
          <objectPr defaultSize="0" autoPict="0" r:id="rId29">
            <anchor moveWithCells="1" sizeWithCells="1">
              <from>
                <xdr:col>11</xdr:col>
                <xdr:colOff>752475</xdr:colOff>
                <xdr:row>191</xdr:row>
                <xdr:rowOff>38100</xdr:rowOff>
              </from>
              <to>
                <xdr:col>16</xdr:col>
                <xdr:colOff>1685925</xdr:colOff>
                <xdr:row>192</xdr:row>
                <xdr:rowOff>228600</xdr:rowOff>
              </to>
            </anchor>
          </objectPr>
        </oleObject>
      </mc:Choice>
      <mc:Fallback>
        <oleObject progId="Equation.DSMT4" shapeId="1047" r:id="rId28"/>
      </mc:Fallback>
    </mc:AlternateContent>
    <mc:AlternateContent xmlns:mc="http://schemas.openxmlformats.org/markup-compatibility/2006">
      <mc:Choice Requires="x14">
        <oleObject progId="Equation.DSMT4" shapeId="1048" r:id="rId30">
          <objectPr defaultSize="0" autoPict="0" r:id="rId31">
            <anchor moveWithCells="1" sizeWithCells="1">
              <from>
                <xdr:col>1</xdr:col>
                <xdr:colOff>85725</xdr:colOff>
                <xdr:row>162</xdr:row>
                <xdr:rowOff>114300</xdr:rowOff>
              </from>
              <to>
                <xdr:col>2</xdr:col>
                <xdr:colOff>923925</xdr:colOff>
                <xdr:row>164</xdr:row>
                <xdr:rowOff>66675</xdr:rowOff>
              </to>
            </anchor>
          </objectPr>
        </oleObject>
      </mc:Choice>
      <mc:Fallback>
        <oleObject progId="Equation.DSMT4" shapeId="1048" r:id="rId30"/>
      </mc:Fallback>
    </mc:AlternateContent>
    <mc:AlternateContent xmlns:mc="http://schemas.openxmlformats.org/markup-compatibility/2006">
      <mc:Choice Requires="x14">
        <oleObject progId="Equation.DSMT4" shapeId="1049" r:id="rId32">
          <objectPr defaultSize="0" autoPict="0" r:id="rId33">
            <anchor moveWithCells="1" sizeWithCells="1">
              <from>
                <xdr:col>7</xdr:col>
                <xdr:colOff>180975</xdr:colOff>
                <xdr:row>161</xdr:row>
                <xdr:rowOff>190500</xdr:rowOff>
              </from>
              <to>
                <xdr:col>9</xdr:col>
                <xdr:colOff>638175</xdr:colOff>
                <xdr:row>163</xdr:row>
                <xdr:rowOff>76200</xdr:rowOff>
              </to>
            </anchor>
          </objectPr>
        </oleObject>
      </mc:Choice>
      <mc:Fallback>
        <oleObject progId="Equation.DSMT4" shapeId="1049" r:id="rId32"/>
      </mc:Fallback>
    </mc:AlternateContent>
    <mc:AlternateContent xmlns:mc="http://schemas.openxmlformats.org/markup-compatibility/2006">
      <mc:Choice Requires="x14">
        <oleObject progId="Equation.DSMT4" shapeId="1050" r:id="rId34">
          <objectPr defaultSize="0" autoPict="0" r:id="rId35">
            <anchor moveWithCells="1" sizeWithCells="1">
              <from>
                <xdr:col>5</xdr:col>
                <xdr:colOff>1400175</xdr:colOff>
                <xdr:row>161</xdr:row>
                <xdr:rowOff>180975</xdr:rowOff>
              </from>
              <to>
                <xdr:col>7</xdr:col>
                <xdr:colOff>95250</xdr:colOff>
                <xdr:row>163</xdr:row>
                <xdr:rowOff>123825</xdr:rowOff>
              </to>
            </anchor>
          </objectPr>
        </oleObject>
      </mc:Choice>
      <mc:Fallback>
        <oleObject progId="Equation.DSMT4" shapeId="1050" r:id="rId34"/>
      </mc:Fallback>
    </mc:AlternateContent>
    <mc:AlternateContent xmlns:mc="http://schemas.openxmlformats.org/markup-compatibility/2006">
      <mc:Choice Requires="x14">
        <oleObject progId="Equation.DSMT4" shapeId="1051" r:id="rId36">
          <objectPr defaultSize="0" autoPict="0" r:id="rId37">
            <anchor moveWithCells="1" sizeWithCells="1">
              <from>
                <xdr:col>14</xdr:col>
                <xdr:colOff>771525</xdr:colOff>
                <xdr:row>164</xdr:row>
                <xdr:rowOff>142875</xdr:rowOff>
              </from>
              <to>
                <xdr:col>16</xdr:col>
                <xdr:colOff>1514475</xdr:colOff>
                <xdr:row>166</xdr:row>
                <xdr:rowOff>76200</xdr:rowOff>
              </to>
            </anchor>
          </objectPr>
        </oleObject>
      </mc:Choice>
      <mc:Fallback>
        <oleObject progId="Equation.DSMT4" shapeId="1051" r:id="rId36"/>
      </mc:Fallback>
    </mc:AlternateContent>
    <mc:AlternateContent xmlns:mc="http://schemas.openxmlformats.org/markup-compatibility/2006">
      <mc:Choice Requires="x14">
        <oleObject progId="Equation.DSMT4" shapeId="1052" r:id="rId38">
          <objectPr defaultSize="0" autoPict="0" r:id="rId39">
            <anchor moveWithCells="1" sizeWithCells="1">
              <from>
                <xdr:col>12</xdr:col>
                <xdr:colOff>171450</xdr:colOff>
                <xdr:row>164</xdr:row>
                <xdr:rowOff>171450</xdr:rowOff>
              </from>
              <to>
                <xdr:col>14</xdr:col>
                <xdr:colOff>838200</xdr:colOff>
                <xdr:row>166</xdr:row>
                <xdr:rowOff>152400</xdr:rowOff>
              </to>
            </anchor>
          </objectPr>
        </oleObject>
      </mc:Choice>
      <mc:Fallback>
        <oleObject progId="Equation.DSMT4" shapeId="1052" r:id="rId38"/>
      </mc:Fallback>
    </mc:AlternateContent>
    <mc:AlternateContent xmlns:mc="http://schemas.openxmlformats.org/markup-compatibility/2006">
      <mc:Choice Requires="x14">
        <oleObject progId="Equation.DSMT4" shapeId="1053" r:id="rId40">
          <objectPr defaultSize="0" autoPict="0" r:id="rId19">
            <anchor moveWithCells="1" sizeWithCells="1">
              <from>
                <xdr:col>13</xdr:col>
                <xdr:colOff>114300</xdr:colOff>
                <xdr:row>142</xdr:row>
                <xdr:rowOff>85725</xdr:rowOff>
              </from>
              <to>
                <xdr:col>14</xdr:col>
                <xdr:colOff>904875</xdr:colOff>
                <xdr:row>144</xdr:row>
                <xdr:rowOff>0</xdr:rowOff>
              </to>
            </anchor>
          </objectPr>
        </oleObject>
      </mc:Choice>
      <mc:Fallback>
        <oleObject progId="Equation.DSMT4" shapeId="1053" r:id="rId40"/>
      </mc:Fallback>
    </mc:AlternateContent>
    <mc:AlternateContent xmlns:mc="http://schemas.openxmlformats.org/markup-compatibility/2006">
      <mc:Choice Requires="x14">
        <oleObject progId="Equation.DSMT4" shapeId="1054" r:id="rId41">
          <objectPr defaultSize="0" autoPict="0" r:id="rId42">
            <anchor moveWithCells="1" sizeWithCells="1">
              <from>
                <xdr:col>11</xdr:col>
                <xdr:colOff>704850</xdr:colOff>
                <xdr:row>223</xdr:row>
                <xdr:rowOff>104775</xdr:rowOff>
              </from>
              <to>
                <xdr:col>14</xdr:col>
                <xdr:colOff>657225</xdr:colOff>
                <xdr:row>225</xdr:row>
                <xdr:rowOff>57150</xdr:rowOff>
              </to>
            </anchor>
          </objectPr>
        </oleObject>
      </mc:Choice>
      <mc:Fallback>
        <oleObject progId="Equation.DSMT4" shapeId="1054" r:id="rId41"/>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N84"/>
  <sheetViews>
    <sheetView tabSelected="1" topLeftCell="A24" zoomScaleNormal="100" workbookViewId="0">
      <selection activeCell="M29" sqref="M29:AM29"/>
    </sheetView>
  </sheetViews>
  <sheetFormatPr baseColWidth="10" defaultColWidth="8.7109375" defaultRowHeight="15" x14ac:dyDescent="0.25"/>
  <cols>
    <col min="2" max="2" width="4.140625" customWidth="1"/>
    <col min="3" max="3" width="31.42578125" customWidth="1"/>
    <col min="4" max="4" width="25.28515625" customWidth="1"/>
    <col min="5" max="5" width="11.42578125" customWidth="1"/>
    <col min="6" max="6" width="36.140625" customWidth="1"/>
    <col min="7" max="7" width="70.28515625" customWidth="1"/>
    <col min="8" max="8" width="15.5703125" customWidth="1"/>
    <col min="9" max="10" width="9.85546875" customWidth="1"/>
    <col min="11" max="11" width="52.42578125" customWidth="1"/>
    <col min="12" max="12" width="69" customWidth="1"/>
    <col min="13" max="13" width="17.5703125" customWidth="1"/>
    <col min="14" max="18" width="18" customWidth="1"/>
    <col min="19" max="19" width="22.85546875" customWidth="1"/>
    <col min="20" max="20" width="10.85546875" customWidth="1"/>
    <col min="21" max="21" width="15.85546875" customWidth="1"/>
    <col min="22" max="22" width="14.28515625" customWidth="1"/>
    <col min="23" max="23" width="20.5703125" bestFit="1" customWidth="1"/>
    <col min="24" max="24" width="18.42578125" bestFit="1" customWidth="1"/>
    <col min="25" max="25" width="18.140625" bestFit="1" customWidth="1"/>
    <col min="26" max="28" width="18.140625" customWidth="1"/>
    <col min="29" max="29" width="17.28515625" customWidth="1"/>
    <col min="30" max="30" width="19.7109375" customWidth="1"/>
    <col min="31" max="32" width="18.140625" customWidth="1"/>
    <col min="33" max="33" width="17" customWidth="1"/>
    <col min="34" max="34" width="11.7109375" customWidth="1"/>
    <col min="35" max="35" width="14.7109375" customWidth="1"/>
    <col min="36" max="36" width="16.140625" customWidth="1"/>
    <col min="37" max="37" width="19.28515625" customWidth="1"/>
    <col min="38" max="38" width="18" customWidth="1"/>
    <col min="39" max="39" width="18.28515625" customWidth="1"/>
  </cols>
  <sheetData>
    <row r="1" spans="2:40" ht="15.75" thickBot="1" x14ac:dyDescent="0.3"/>
    <row r="2" spans="2:40" ht="15.75" thickBot="1" x14ac:dyDescent="0.3">
      <c r="K2" s="35" t="s">
        <v>644</v>
      </c>
      <c r="L2" s="35" t="s">
        <v>243</v>
      </c>
    </row>
    <row r="3" spans="2:40" x14ac:dyDescent="0.25">
      <c r="K3" s="193" t="s">
        <v>241</v>
      </c>
      <c r="L3" s="45" t="s">
        <v>16</v>
      </c>
    </row>
    <row r="4" spans="2:40" x14ac:dyDescent="0.25">
      <c r="K4" s="193" t="s">
        <v>242</v>
      </c>
      <c r="L4" s="261" t="s">
        <v>246</v>
      </c>
    </row>
    <row r="5" spans="2:40" x14ac:dyDescent="0.25">
      <c r="K5" s="193"/>
      <c r="L5" s="261"/>
    </row>
    <row r="6" spans="2:40" ht="15.75" x14ac:dyDescent="0.25">
      <c r="F6" s="236" t="s">
        <v>774</v>
      </c>
      <c r="K6" s="193" t="s">
        <v>245</v>
      </c>
      <c r="L6" s="261" t="s">
        <v>247</v>
      </c>
    </row>
    <row r="7" spans="2:40" ht="15.75" customHeight="1" x14ac:dyDescent="0.25">
      <c r="B7" s="294" t="s">
        <v>775</v>
      </c>
      <c r="C7" s="294"/>
      <c r="D7" s="294"/>
      <c r="E7" s="294"/>
      <c r="F7" s="294"/>
      <c r="G7" s="294"/>
      <c r="H7" s="294"/>
      <c r="I7" s="294"/>
      <c r="J7" s="294"/>
      <c r="K7" s="193" t="s">
        <v>248</v>
      </c>
      <c r="L7" s="261" t="s">
        <v>249</v>
      </c>
    </row>
    <row r="8" spans="2:40" x14ac:dyDescent="0.25">
      <c r="B8" s="294"/>
      <c r="C8" s="294"/>
      <c r="D8" s="294"/>
      <c r="E8" s="294"/>
      <c r="F8" s="294"/>
      <c r="G8" s="294"/>
      <c r="H8" s="294"/>
      <c r="I8" s="294"/>
      <c r="J8" s="294"/>
      <c r="K8" s="193" t="s">
        <v>250</v>
      </c>
      <c r="L8" s="261" t="s">
        <v>251</v>
      </c>
      <c r="N8" s="341" t="s">
        <v>640</v>
      </c>
      <c r="O8" s="341"/>
    </row>
    <row r="9" spans="2:40" x14ac:dyDescent="0.25">
      <c r="B9" s="294"/>
      <c r="C9" s="294"/>
      <c r="D9" s="294"/>
      <c r="E9" s="294"/>
      <c r="F9" s="294"/>
      <c r="G9" s="294"/>
      <c r="H9" s="294"/>
      <c r="I9" s="294"/>
      <c r="J9" s="294"/>
      <c r="K9" s="197" t="s">
        <v>252</v>
      </c>
      <c r="L9" s="261" t="s">
        <v>254</v>
      </c>
      <c r="N9" s="171" t="s">
        <v>637</v>
      </c>
      <c r="O9" s="190" t="s">
        <v>648</v>
      </c>
    </row>
    <row r="10" spans="2:40" ht="24" thickBot="1" x14ac:dyDescent="0.3">
      <c r="B10" s="248"/>
      <c r="C10" s="248"/>
      <c r="D10" s="248"/>
      <c r="E10" s="248"/>
      <c r="F10" s="263" t="s">
        <v>776</v>
      </c>
      <c r="G10" s="248"/>
      <c r="H10" s="248"/>
      <c r="I10" s="248"/>
      <c r="J10" s="248"/>
      <c r="K10" s="198" t="s">
        <v>255</v>
      </c>
      <c r="L10" s="262" t="s">
        <v>256</v>
      </c>
      <c r="N10" s="171" t="s">
        <v>638</v>
      </c>
      <c r="O10" s="191" t="s">
        <v>649</v>
      </c>
    </row>
    <row r="11" spans="2:40" ht="15.75" thickBot="1" x14ac:dyDescent="0.3">
      <c r="N11" s="172" t="s">
        <v>639</v>
      </c>
      <c r="O11" s="192" t="s">
        <v>650</v>
      </c>
    </row>
    <row r="12" spans="2:40" ht="24" thickBot="1" x14ac:dyDescent="0.4">
      <c r="F12" s="256" t="s">
        <v>785</v>
      </c>
      <c r="K12" s="250" t="s">
        <v>264</v>
      </c>
      <c r="L12" s="251" t="s">
        <v>243</v>
      </c>
    </row>
    <row r="13" spans="2:40" x14ac:dyDescent="0.25">
      <c r="F13" s="21"/>
      <c r="K13" s="252" t="s">
        <v>266</v>
      </c>
      <c r="L13" s="253" t="s">
        <v>16</v>
      </c>
    </row>
    <row r="14" spans="2:40" ht="21.75" thickBot="1" x14ac:dyDescent="0.4">
      <c r="E14" s="270" t="s">
        <v>788</v>
      </c>
      <c r="F14" s="277" t="str">
        <f>'Building &amp; Material inputs'!C15</f>
        <v xml:space="preserve"> Single-family house in concrete and bricks</v>
      </c>
      <c r="K14" s="254" t="s">
        <v>265</v>
      </c>
      <c r="L14" s="255" t="s">
        <v>16</v>
      </c>
    </row>
    <row r="15" spans="2:40" x14ac:dyDescent="0.25">
      <c r="M15">
        <v>9</v>
      </c>
      <c r="N15">
        <v>10</v>
      </c>
      <c r="O15">
        <v>11</v>
      </c>
      <c r="P15">
        <v>12</v>
      </c>
      <c r="Q15">
        <v>13</v>
      </c>
      <c r="R15">
        <v>14</v>
      </c>
      <c r="S15">
        <v>15</v>
      </c>
      <c r="T15">
        <v>16</v>
      </c>
      <c r="U15">
        <v>17</v>
      </c>
      <c r="V15">
        <v>18</v>
      </c>
      <c r="W15">
        <v>19</v>
      </c>
      <c r="X15">
        <v>20</v>
      </c>
      <c r="Y15">
        <v>21</v>
      </c>
      <c r="Z15">
        <v>22</v>
      </c>
      <c r="AA15">
        <v>23</v>
      </c>
      <c r="AB15">
        <v>24</v>
      </c>
      <c r="AC15">
        <v>25</v>
      </c>
      <c r="AD15">
        <v>26</v>
      </c>
      <c r="AE15">
        <v>27</v>
      </c>
      <c r="AF15">
        <v>28</v>
      </c>
      <c r="AG15">
        <v>29</v>
      </c>
      <c r="AH15">
        <v>30</v>
      </c>
      <c r="AI15">
        <v>31</v>
      </c>
      <c r="AJ15">
        <v>32</v>
      </c>
      <c r="AK15">
        <v>33</v>
      </c>
      <c r="AL15">
        <v>34</v>
      </c>
      <c r="AM15">
        <v>35</v>
      </c>
    </row>
    <row r="16" spans="2:40" x14ac:dyDescent="0.25">
      <c r="E16">
        <v>1</v>
      </c>
      <c r="F16">
        <v>2</v>
      </c>
      <c r="G16">
        <v>3</v>
      </c>
      <c r="H16">
        <v>4</v>
      </c>
      <c r="I16">
        <v>5</v>
      </c>
      <c r="J16">
        <v>6</v>
      </c>
      <c r="K16">
        <v>7</v>
      </c>
      <c r="L16">
        <v>8</v>
      </c>
      <c r="M16" s="342" t="s">
        <v>263</v>
      </c>
      <c r="N16" s="342"/>
      <c r="O16" s="343" t="s">
        <v>642</v>
      </c>
      <c r="P16" s="348"/>
      <c r="Q16" s="349" t="s">
        <v>643</v>
      </c>
      <c r="R16" s="350"/>
      <c r="S16" s="351" t="s">
        <v>257</v>
      </c>
      <c r="T16" s="352"/>
      <c r="U16" s="352"/>
      <c r="V16" s="352"/>
      <c r="W16" s="352"/>
      <c r="X16" s="352"/>
      <c r="Y16" s="353"/>
      <c r="Z16" s="343" t="s">
        <v>635</v>
      </c>
      <c r="AA16" s="344"/>
      <c r="AB16" s="344"/>
      <c r="AC16" s="344"/>
      <c r="AD16" s="344"/>
      <c r="AE16" s="344"/>
      <c r="AF16" s="344"/>
      <c r="AG16" s="345" t="s">
        <v>636</v>
      </c>
      <c r="AH16" s="346"/>
      <c r="AI16" s="346"/>
      <c r="AJ16" s="346"/>
      <c r="AK16" s="346"/>
      <c r="AL16" s="346"/>
      <c r="AM16" s="347"/>
      <c r="AN16" s="110"/>
    </row>
    <row r="17" spans="2:39" ht="30" x14ac:dyDescent="0.25">
      <c r="B17" s="7" t="s">
        <v>408</v>
      </c>
      <c r="C17" s="7" t="s">
        <v>17</v>
      </c>
      <c r="D17" s="7" t="s">
        <v>44</v>
      </c>
      <c r="E17" s="7" t="s">
        <v>42</v>
      </c>
      <c r="F17" s="7" t="s">
        <v>46</v>
      </c>
      <c r="G17" s="7" t="s">
        <v>23</v>
      </c>
      <c r="H17" s="33" t="s">
        <v>383</v>
      </c>
      <c r="I17" s="7" t="s">
        <v>18</v>
      </c>
      <c r="J17" s="7" t="s">
        <v>253</v>
      </c>
      <c r="K17" s="7" t="s">
        <v>47</v>
      </c>
      <c r="L17" s="7" t="s">
        <v>48</v>
      </c>
      <c r="M17" s="152" t="s">
        <v>267</v>
      </c>
      <c r="N17" s="152" t="s">
        <v>627</v>
      </c>
      <c r="O17" s="155" t="s">
        <v>267</v>
      </c>
      <c r="P17" s="155" t="s">
        <v>627</v>
      </c>
      <c r="Q17" s="160" t="s">
        <v>267</v>
      </c>
      <c r="R17" s="160" t="s">
        <v>627</v>
      </c>
      <c r="S17" s="159" t="s">
        <v>258</v>
      </c>
      <c r="T17" s="152" t="s">
        <v>259</v>
      </c>
      <c r="U17" s="152" t="s">
        <v>260</v>
      </c>
      <c r="V17" s="152" t="s">
        <v>633</v>
      </c>
      <c r="W17" s="152" t="s">
        <v>261</v>
      </c>
      <c r="X17" s="152" t="s">
        <v>262</v>
      </c>
      <c r="Y17" s="152" t="s">
        <v>269</v>
      </c>
      <c r="Z17" s="155" t="s">
        <v>258</v>
      </c>
      <c r="AA17" s="157" t="s">
        <v>259</v>
      </c>
      <c r="AB17" s="157" t="s">
        <v>260</v>
      </c>
      <c r="AC17" s="157" t="s">
        <v>633</v>
      </c>
      <c r="AD17" s="157" t="s">
        <v>261</v>
      </c>
      <c r="AE17" s="157" t="s">
        <v>262</v>
      </c>
      <c r="AF17" s="157" t="s">
        <v>269</v>
      </c>
      <c r="AG17" s="160" t="s">
        <v>258</v>
      </c>
      <c r="AH17" s="160" t="s">
        <v>259</v>
      </c>
      <c r="AI17" s="160" t="s">
        <v>260</v>
      </c>
      <c r="AJ17" s="160" t="s">
        <v>633</v>
      </c>
      <c r="AK17" s="160" t="s">
        <v>261</v>
      </c>
      <c r="AL17" s="160" t="s">
        <v>262</v>
      </c>
      <c r="AM17" s="160" t="s">
        <v>269</v>
      </c>
    </row>
    <row r="18" spans="2:39" ht="9" customHeight="1" x14ac:dyDescent="0.25">
      <c r="M18" s="153"/>
      <c r="N18" s="153"/>
      <c r="O18" s="156"/>
      <c r="P18" s="156"/>
      <c r="Q18" s="161"/>
      <c r="R18" s="161"/>
      <c r="S18" s="153"/>
      <c r="T18" s="153"/>
      <c r="U18" s="153"/>
      <c r="V18" s="153"/>
      <c r="W18" s="153"/>
      <c r="X18" s="153"/>
      <c r="Y18" s="153"/>
      <c r="Z18" s="156"/>
      <c r="AA18" s="156"/>
      <c r="AB18" s="156"/>
      <c r="AC18" s="156"/>
      <c r="AD18" s="156"/>
      <c r="AE18" s="156"/>
      <c r="AF18" s="156"/>
      <c r="AG18" s="161"/>
      <c r="AH18" s="161"/>
      <c r="AI18" s="161"/>
      <c r="AJ18" s="161"/>
      <c r="AK18" s="161"/>
      <c r="AL18" s="161"/>
      <c r="AM18" s="161"/>
    </row>
    <row r="19" spans="2:39" ht="51.75" customHeight="1" x14ac:dyDescent="0.25">
      <c r="B19" s="22">
        <v>1</v>
      </c>
      <c r="C19" s="22" t="s">
        <v>448</v>
      </c>
      <c r="D19" s="22" t="s">
        <v>447</v>
      </c>
      <c r="E19" s="22" t="s">
        <v>449</v>
      </c>
      <c r="F19" s="23" t="s">
        <v>451</v>
      </c>
      <c r="G19" s="23" t="s">
        <v>450</v>
      </c>
      <c r="H19" s="8">
        <v>1</v>
      </c>
      <c r="I19" s="8" t="s">
        <v>14</v>
      </c>
      <c r="J19" s="15">
        <v>87.54</v>
      </c>
      <c r="K19" s="24" t="s">
        <v>314</v>
      </c>
      <c r="L19" s="24" t="s">
        <v>281</v>
      </c>
      <c r="M19" s="152">
        <v>31.69</v>
      </c>
      <c r="N19" s="152">
        <v>898.3</v>
      </c>
      <c r="O19" s="157">
        <v>0.90880000000000005</v>
      </c>
      <c r="P19" s="157">
        <v>28.72</v>
      </c>
      <c r="Q19" s="162">
        <v>0.69359999999999999</v>
      </c>
      <c r="R19" s="162">
        <v>41.89</v>
      </c>
      <c r="S19" s="152">
        <v>127.2</v>
      </c>
      <c r="T19" s="152">
        <v>895.3</v>
      </c>
      <c r="U19" s="152">
        <v>3.2899999999999998E-6</v>
      </c>
      <c r="V19" s="152">
        <v>0.25919999999999999</v>
      </c>
      <c r="W19" s="152">
        <v>1.125E-2</v>
      </c>
      <c r="X19" s="152">
        <v>0.2266</v>
      </c>
      <c r="Y19" s="164">
        <v>3.0400000000000001E-6</v>
      </c>
      <c r="Z19" s="157">
        <v>2.036</v>
      </c>
      <c r="AA19" s="157">
        <v>28.72</v>
      </c>
      <c r="AB19" s="169">
        <v>1.325E-7</v>
      </c>
      <c r="AC19" s="157">
        <v>5.0610000000000004E-3</v>
      </c>
      <c r="AD19" s="157">
        <v>1.507E-5</v>
      </c>
      <c r="AE19" s="157">
        <v>2.5049999999999998E-3</v>
      </c>
      <c r="AF19" s="169">
        <v>4.8080000000000002E-7</v>
      </c>
      <c r="AG19" s="162">
        <v>3.9409999999999998</v>
      </c>
      <c r="AH19" s="162">
        <v>41.84</v>
      </c>
      <c r="AI19" s="173">
        <v>1.5130000000000001E-7</v>
      </c>
      <c r="AJ19" s="162">
        <v>2.232E-2</v>
      </c>
      <c r="AK19" s="162">
        <v>2.655E-4</v>
      </c>
      <c r="AL19" s="162">
        <v>2.479E-2</v>
      </c>
      <c r="AM19" s="173">
        <v>4.481E-7</v>
      </c>
    </row>
    <row r="20" spans="2:39" ht="93" customHeight="1" x14ac:dyDescent="0.25">
      <c r="B20" s="22">
        <f>B19+1</f>
        <v>2</v>
      </c>
      <c r="C20" s="22" t="s">
        <v>45</v>
      </c>
      <c r="D20" s="22" t="s">
        <v>19</v>
      </c>
      <c r="E20" s="22" t="s">
        <v>240</v>
      </c>
      <c r="F20" s="23" t="s">
        <v>239</v>
      </c>
      <c r="G20" s="23" t="s">
        <v>238</v>
      </c>
      <c r="H20" s="8">
        <v>1</v>
      </c>
      <c r="I20" s="8" t="s">
        <v>14</v>
      </c>
      <c r="J20" s="8">
        <v>118.28</v>
      </c>
      <c r="K20" s="24" t="s">
        <v>314</v>
      </c>
      <c r="L20" s="23" t="s">
        <v>244</v>
      </c>
      <c r="M20" s="154">
        <v>190</v>
      </c>
      <c r="N20" s="154">
        <v>1400</v>
      </c>
      <c r="O20" s="158">
        <v>3.42</v>
      </c>
      <c r="P20" s="158">
        <v>59</v>
      </c>
      <c r="Q20" s="163"/>
      <c r="R20" s="163">
        <v>0.121</v>
      </c>
      <c r="S20" s="154">
        <v>282</v>
      </c>
      <c r="T20" s="154">
        <v>1360</v>
      </c>
      <c r="U20" s="154">
        <v>6.8999999999999997E-5</v>
      </c>
      <c r="V20" s="154">
        <v>0.436</v>
      </c>
      <c r="W20" s="154">
        <v>0.14000000000000001</v>
      </c>
      <c r="X20" s="154">
        <v>1.5900000000000001E-2</v>
      </c>
      <c r="Y20" s="165">
        <v>3.3500000000000001E-6</v>
      </c>
      <c r="Z20" s="158">
        <v>4.34</v>
      </c>
      <c r="AA20" s="158">
        <v>58.8</v>
      </c>
      <c r="AB20" s="174">
        <v>3.0800000000000001E-7</v>
      </c>
      <c r="AC20" s="158">
        <v>1.01E-2</v>
      </c>
      <c r="AD20" s="158">
        <v>2.4299999999999999E-3</v>
      </c>
      <c r="AE20" s="158">
        <v>-3.3700000000000002E-3</v>
      </c>
      <c r="AF20" s="174">
        <v>7.16E-16</v>
      </c>
      <c r="AG20" s="162">
        <v>1.7999999999999999E-2</v>
      </c>
      <c r="AH20" s="162">
        <v>0.246</v>
      </c>
      <c r="AI20" s="173">
        <v>6.5099999999999999E-7</v>
      </c>
      <c r="AJ20" s="173">
        <v>7.7399999999999998E-5</v>
      </c>
      <c r="AK20" s="173">
        <v>3.1700000000000001E-4</v>
      </c>
      <c r="AL20" s="173">
        <v>1.5E-5</v>
      </c>
      <c r="AM20" s="173">
        <v>1.1599999999999999E-9</v>
      </c>
    </row>
    <row r="21" spans="2:39" ht="93" customHeight="1" x14ac:dyDescent="0.25">
      <c r="B21" s="22">
        <f t="shared" ref="B21:B61" si="0">B20+1</f>
        <v>3</v>
      </c>
      <c r="C21" s="22" t="s">
        <v>45</v>
      </c>
      <c r="D21" s="22" t="s">
        <v>19</v>
      </c>
      <c r="E21" s="22" t="s">
        <v>268</v>
      </c>
      <c r="F21" s="23" t="s">
        <v>272</v>
      </c>
      <c r="G21" s="23" t="s">
        <v>238</v>
      </c>
      <c r="H21" s="8">
        <v>1</v>
      </c>
      <c r="I21" s="8" t="s">
        <v>14</v>
      </c>
      <c r="J21" s="8">
        <v>244.28</v>
      </c>
      <c r="K21" s="24" t="s">
        <v>314</v>
      </c>
      <c r="L21" s="24" t="s">
        <v>244</v>
      </c>
      <c r="M21" s="154">
        <v>190</v>
      </c>
      <c r="N21" s="154">
        <v>1400</v>
      </c>
      <c r="O21" s="158">
        <v>3.42</v>
      </c>
      <c r="P21" s="158">
        <v>59</v>
      </c>
      <c r="Q21" s="163"/>
      <c r="R21" s="163">
        <v>0.22500000000000001</v>
      </c>
      <c r="S21" s="154">
        <v>282</v>
      </c>
      <c r="T21" s="152">
        <v>1360</v>
      </c>
      <c r="U21" s="152">
        <v>6.8999999999999997E-5</v>
      </c>
      <c r="V21" s="152">
        <v>0.436</v>
      </c>
      <c r="W21" s="152">
        <v>0.14000000000000001</v>
      </c>
      <c r="X21" s="152">
        <v>1.5900000000000001E-2</v>
      </c>
      <c r="Y21" s="164">
        <v>3.3500000000000001E-6</v>
      </c>
      <c r="Z21" s="157">
        <v>4.34</v>
      </c>
      <c r="AA21" s="157">
        <v>58.8</v>
      </c>
      <c r="AB21" s="169">
        <v>3.0800000000000001E-7</v>
      </c>
      <c r="AC21" s="157">
        <v>1.01E-2</v>
      </c>
      <c r="AD21" s="157">
        <v>2.4299999999999999E-2</v>
      </c>
      <c r="AE21" s="157">
        <v>-3.3700000000000001E-2</v>
      </c>
      <c r="AF21" s="169">
        <v>7.16E-16</v>
      </c>
      <c r="AG21" s="162">
        <v>3.3000000000000002E-2</v>
      </c>
      <c r="AH21" s="162">
        <v>0.45600000000000002</v>
      </c>
      <c r="AI21" s="173">
        <v>1.2100000000000001E-6</v>
      </c>
      <c r="AJ21" s="173">
        <v>1.4300000000000001E-4</v>
      </c>
      <c r="AK21" s="173">
        <v>5.8600000000000004E-4</v>
      </c>
      <c r="AL21" s="173">
        <v>2.7699999999999999E-5</v>
      </c>
      <c r="AM21" s="173">
        <v>2.1499999999999998E-9</v>
      </c>
    </row>
    <row r="22" spans="2:39" ht="93" customHeight="1" x14ac:dyDescent="0.25">
      <c r="B22" s="22">
        <f t="shared" si="0"/>
        <v>4</v>
      </c>
      <c r="C22" s="22" t="s">
        <v>45</v>
      </c>
      <c r="D22" s="22" t="s">
        <v>19</v>
      </c>
      <c r="E22" s="22" t="s">
        <v>271</v>
      </c>
      <c r="F22" s="23" t="s">
        <v>270</v>
      </c>
      <c r="G22" s="23" t="s">
        <v>238</v>
      </c>
      <c r="H22" s="8">
        <v>1</v>
      </c>
      <c r="I22" s="8" t="s">
        <v>14</v>
      </c>
      <c r="J22" s="8">
        <v>408</v>
      </c>
      <c r="K22" s="24" t="s">
        <v>314</v>
      </c>
      <c r="L22" s="24" t="s">
        <v>244</v>
      </c>
      <c r="M22" s="154">
        <v>190</v>
      </c>
      <c r="N22" s="154">
        <v>1400</v>
      </c>
      <c r="O22" s="158">
        <v>3.42</v>
      </c>
      <c r="P22" s="158">
        <v>59</v>
      </c>
      <c r="Q22" s="163"/>
      <c r="R22" s="163">
        <v>1.62</v>
      </c>
      <c r="S22" s="154">
        <v>282</v>
      </c>
      <c r="T22" s="152">
        <v>1360</v>
      </c>
      <c r="U22" s="152">
        <v>6.8999999999999997E-5</v>
      </c>
      <c r="V22" s="152">
        <v>0.436</v>
      </c>
      <c r="W22" s="152">
        <v>0.14000000000000001</v>
      </c>
      <c r="X22" s="152">
        <v>1.5900000000000001E-2</v>
      </c>
      <c r="Y22" s="164">
        <v>3.3500000000000001E-6</v>
      </c>
      <c r="Z22" s="157">
        <v>4.34</v>
      </c>
      <c r="AA22" s="157">
        <v>58.8</v>
      </c>
      <c r="AB22" s="169">
        <v>3.0800000000000001E-7</v>
      </c>
      <c r="AC22" s="157">
        <v>1.01E-2</v>
      </c>
      <c r="AD22" s="157">
        <v>2.4299999999999999E-2</v>
      </c>
      <c r="AE22" s="157">
        <v>-3.3700000000000001E-2</v>
      </c>
      <c r="AF22" s="169">
        <v>7.16E-16</v>
      </c>
      <c r="AG22" s="162">
        <v>0.23499999999999999</v>
      </c>
      <c r="AH22" s="162">
        <v>3.2890000000000001</v>
      </c>
      <c r="AI22" s="173">
        <v>8.6899999999999998E-6</v>
      </c>
      <c r="AJ22" s="162">
        <v>0.01</v>
      </c>
      <c r="AK22" s="162">
        <v>0.04</v>
      </c>
      <c r="AL22" s="173">
        <v>2.0000000000000001E-4</v>
      </c>
      <c r="AM22" s="173">
        <v>1.55E-8</v>
      </c>
    </row>
    <row r="23" spans="2:39" ht="36.75" customHeight="1" x14ac:dyDescent="0.25">
      <c r="B23" s="22">
        <f t="shared" si="0"/>
        <v>5</v>
      </c>
      <c r="C23" s="22" t="s">
        <v>45</v>
      </c>
      <c r="D23" s="22" t="s">
        <v>20</v>
      </c>
      <c r="E23" s="22" t="s">
        <v>443</v>
      </c>
      <c r="F23" s="23" t="s">
        <v>273</v>
      </c>
      <c r="G23" s="23" t="s">
        <v>274</v>
      </c>
      <c r="H23" s="8">
        <v>1000</v>
      </c>
      <c r="I23" s="8" t="s">
        <v>15</v>
      </c>
      <c r="J23" s="8">
        <v>1800</v>
      </c>
      <c r="K23" s="24" t="s">
        <v>314</v>
      </c>
      <c r="L23" s="24" t="s">
        <v>275</v>
      </c>
      <c r="M23" s="154">
        <v>1584</v>
      </c>
      <c r="N23" s="154">
        <v>7195</v>
      </c>
      <c r="O23" s="158">
        <v>12</v>
      </c>
      <c r="P23" s="158">
        <v>656</v>
      </c>
      <c r="Q23" s="163"/>
      <c r="R23" s="163">
        <v>0.03</v>
      </c>
      <c r="S23" s="154">
        <v>527</v>
      </c>
      <c r="T23" s="152">
        <v>6525</v>
      </c>
      <c r="U23" s="152">
        <v>1.0192999999999999E-3</v>
      </c>
      <c r="V23" s="152">
        <v>2</v>
      </c>
      <c r="W23" s="152">
        <v>0.85199999999999998</v>
      </c>
      <c r="X23" s="152">
        <v>0.188</v>
      </c>
      <c r="Y23" s="164">
        <v>5.3903999999999998E-5</v>
      </c>
      <c r="Z23" s="157">
        <v>41</v>
      </c>
      <c r="AA23" s="157">
        <v>635</v>
      </c>
      <c r="AB23" s="157">
        <v>7.1400000000000001E-5</v>
      </c>
      <c r="AC23" s="157">
        <v>0.24</v>
      </c>
      <c r="AD23" s="157">
        <v>4.2000000000000003E-2</v>
      </c>
      <c r="AE23" s="157">
        <v>8.9999999999999993E-3</v>
      </c>
      <c r="AF23" s="157">
        <v>7.8599999999999993E-6</v>
      </c>
      <c r="AG23" s="173">
        <v>8.3900000000000006E-5</v>
      </c>
      <c r="AH23" s="162">
        <v>1E-3</v>
      </c>
      <c r="AI23" s="173">
        <v>3.1E-9</v>
      </c>
      <c r="AJ23" s="173">
        <v>3.6899999999999998E-7</v>
      </c>
      <c r="AK23" s="173">
        <v>1.5099999999999999E-6</v>
      </c>
      <c r="AL23" s="173">
        <v>7.1299999999999997E-8</v>
      </c>
      <c r="AM23" s="173">
        <v>5.5300000000000001E-12</v>
      </c>
    </row>
    <row r="24" spans="2:39" ht="105" x14ac:dyDescent="0.25">
      <c r="B24" s="22">
        <f t="shared" si="0"/>
        <v>6</v>
      </c>
      <c r="C24" s="22" t="s">
        <v>45</v>
      </c>
      <c r="D24" s="22" t="s">
        <v>21</v>
      </c>
      <c r="E24" s="22" t="s">
        <v>381</v>
      </c>
      <c r="F24" s="23" t="s">
        <v>276</v>
      </c>
      <c r="G24" s="23" t="s">
        <v>277</v>
      </c>
      <c r="H24" s="8">
        <v>1000</v>
      </c>
      <c r="I24" s="8" t="s">
        <v>15</v>
      </c>
      <c r="J24" s="15">
        <v>2690</v>
      </c>
      <c r="K24" s="24" t="s">
        <v>314</v>
      </c>
      <c r="L24" s="24" t="s">
        <v>278</v>
      </c>
      <c r="M24" s="152">
        <v>1083.6289999999999</v>
      </c>
      <c r="N24" s="152">
        <v>9389.1</v>
      </c>
      <c r="O24" s="157"/>
      <c r="P24" s="157">
        <v>0.33700000000000002</v>
      </c>
      <c r="Q24" s="162"/>
      <c r="R24" s="162">
        <v>0.03</v>
      </c>
      <c r="S24" s="154">
        <v>676.31</v>
      </c>
      <c r="T24" s="152">
        <v>9249.1</v>
      </c>
      <c r="U24" s="152">
        <v>1.69706E-3</v>
      </c>
      <c r="V24" s="152">
        <v>2.98319</v>
      </c>
      <c r="W24" s="152">
        <v>0.436803</v>
      </c>
      <c r="X24" s="152">
        <v>1.66808</v>
      </c>
      <c r="Y24" s="164">
        <v>1.05493E-4</v>
      </c>
      <c r="Z24" s="157">
        <v>2.5000000000000001E-2</v>
      </c>
      <c r="AA24" s="157">
        <v>2.7469999999999999</v>
      </c>
      <c r="AB24" s="169">
        <v>1.5E-5</v>
      </c>
      <c r="AC24" s="157">
        <v>0.02</v>
      </c>
      <c r="AD24" s="169">
        <v>3.5E-4</v>
      </c>
      <c r="AE24" s="169">
        <v>9.2399999999999996E-5</v>
      </c>
      <c r="AF24" s="169">
        <v>3.2499999999999997E-5</v>
      </c>
      <c r="AG24" s="173">
        <v>4.7399999999999997E-4</v>
      </c>
      <c r="AH24" s="162">
        <v>7.0000000000000001E-3</v>
      </c>
      <c r="AI24" s="173">
        <v>1.7500000000000001E-8</v>
      </c>
      <c r="AJ24" s="173">
        <v>2.08E-6</v>
      </c>
      <c r="AK24" s="173">
        <v>8.5299999999999996E-6</v>
      </c>
      <c r="AL24" s="173">
        <v>4.03E-7</v>
      </c>
      <c r="AM24" s="173">
        <v>3.1299999999999998E-11</v>
      </c>
    </row>
    <row r="25" spans="2:39" ht="90" x14ac:dyDescent="0.25">
      <c r="B25" s="22">
        <f t="shared" si="0"/>
        <v>7</v>
      </c>
      <c r="C25" s="23" t="s">
        <v>442</v>
      </c>
      <c r="D25" s="23" t="s">
        <v>384</v>
      </c>
      <c r="E25" s="22" t="s">
        <v>279</v>
      </c>
      <c r="F25" s="23" t="s">
        <v>282</v>
      </c>
      <c r="G25" s="23" t="s">
        <v>280</v>
      </c>
      <c r="H25" s="8">
        <v>1</v>
      </c>
      <c r="I25" s="8" t="s">
        <v>14</v>
      </c>
      <c r="J25" s="15">
        <v>1134</v>
      </c>
      <c r="K25" s="24" t="s">
        <v>314</v>
      </c>
      <c r="L25" s="24" t="s">
        <v>281</v>
      </c>
      <c r="M25" s="152">
        <v>11320</v>
      </c>
      <c r="N25" s="152">
        <v>1503</v>
      </c>
      <c r="O25" s="157"/>
      <c r="P25" s="157">
        <v>1118.95</v>
      </c>
      <c r="Q25" s="162"/>
      <c r="R25" s="162">
        <v>8.9999999999999993E-3</v>
      </c>
      <c r="S25" s="154">
        <v>-646.29999999999995</v>
      </c>
      <c r="T25" s="152">
        <v>1345</v>
      </c>
      <c r="U25" s="152">
        <v>1.015E-4</v>
      </c>
      <c r="V25" s="152">
        <v>0.83960000000000001</v>
      </c>
      <c r="W25" s="152">
        <v>0.1701</v>
      </c>
      <c r="X25" s="152">
        <v>0.1027</v>
      </c>
      <c r="Y25" s="164">
        <v>2.565E-5</v>
      </c>
      <c r="Z25" s="157">
        <v>82.802000000000007</v>
      </c>
      <c r="AA25" s="157">
        <v>9108.2430000000004</v>
      </c>
      <c r="AB25" s="157">
        <v>0.05</v>
      </c>
      <c r="AC25" s="157">
        <v>5.7960000000000003</v>
      </c>
      <c r="AD25" s="157">
        <v>1.159</v>
      </c>
      <c r="AE25" s="157">
        <v>0.30599999999999999</v>
      </c>
      <c r="AF25" s="157">
        <v>0.108</v>
      </c>
      <c r="AG25" s="162">
        <v>1E-3</v>
      </c>
      <c r="AH25" s="162">
        <v>1.7999999999999999E-2</v>
      </c>
      <c r="AI25" s="173">
        <v>4.6299999999999998E-8</v>
      </c>
      <c r="AJ25" s="173">
        <v>5.5099999999999998E-6</v>
      </c>
      <c r="AK25" s="173">
        <v>2.2500000000000001E-5</v>
      </c>
      <c r="AL25" s="173">
        <v>1.06E-6</v>
      </c>
      <c r="AM25" s="173">
        <v>8.2600000000000004E-11</v>
      </c>
    </row>
    <row r="26" spans="2:39" ht="75" x14ac:dyDescent="0.25">
      <c r="B26" s="22">
        <f t="shared" si="0"/>
        <v>8</v>
      </c>
      <c r="C26" s="23" t="s">
        <v>300</v>
      </c>
      <c r="D26" s="22" t="s">
        <v>50</v>
      </c>
      <c r="E26" s="22" t="s">
        <v>380</v>
      </c>
      <c r="F26" s="23" t="s">
        <v>283</v>
      </c>
      <c r="G26" s="23" t="s">
        <v>284</v>
      </c>
      <c r="H26" s="8">
        <v>1000</v>
      </c>
      <c r="I26" s="8" t="s">
        <v>15</v>
      </c>
      <c r="J26" s="15">
        <v>2500</v>
      </c>
      <c r="K26" s="24" t="s">
        <v>314</v>
      </c>
      <c r="L26" s="24" t="s">
        <v>285</v>
      </c>
      <c r="M26" s="152">
        <v>2140</v>
      </c>
      <c r="N26" s="152">
        <v>11300</v>
      </c>
      <c r="O26" s="157">
        <v>6.42</v>
      </c>
      <c r="P26" s="157">
        <v>111</v>
      </c>
      <c r="Q26" s="162">
        <v>0.72599999999999998</v>
      </c>
      <c r="R26" s="162">
        <v>12.6</v>
      </c>
      <c r="S26" s="154">
        <v>1040</v>
      </c>
      <c r="T26" s="152">
        <v>11200</v>
      </c>
      <c r="U26" s="152">
        <v>2.9399999999999999E-4</v>
      </c>
      <c r="V26" s="152">
        <v>2.99</v>
      </c>
      <c r="W26" s="152">
        <v>1.66E-3</v>
      </c>
      <c r="X26" s="152">
        <v>2.56</v>
      </c>
      <c r="Y26" s="166">
        <v>8.6300000000000002E-12</v>
      </c>
      <c r="Z26" s="169">
        <v>8.39</v>
      </c>
      <c r="AA26" s="169">
        <v>111</v>
      </c>
      <c r="AB26" s="169">
        <v>6.7299999999999995E-7</v>
      </c>
      <c r="AC26" s="169">
        <v>0.03</v>
      </c>
      <c r="AD26" s="169">
        <v>1.37E-2</v>
      </c>
      <c r="AE26" s="169">
        <v>2.6700000000000002E-2</v>
      </c>
      <c r="AF26" s="169">
        <v>1.53E-15</v>
      </c>
      <c r="AG26" s="162">
        <v>0.65800000000000003</v>
      </c>
      <c r="AH26" s="162">
        <v>12.6</v>
      </c>
      <c r="AI26" s="173">
        <v>7.61E-8</v>
      </c>
      <c r="AJ26" s="162">
        <v>3.4099999999999998E-3</v>
      </c>
      <c r="AK26" s="162">
        <v>1.5200000000000001E-3</v>
      </c>
      <c r="AL26" s="162">
        <v>4.2900000000000004E-3</v>
      </c>
      <c r="AM26" s="173">
        <v>1.73E-16</v>
      </c>
    </row>
    <row r="27" spans="2:39" ht="30" x14ac:dyDescent="0.25">
      <c r="B27" s="22">
        <f t="shared" si="0"/>
        <v>9</v>
      </c>
      <c r="C27" s="23" t="s">
        <v>288</v>
      </c>
      <c r="D27" s="22" t="s">
        <v>52</v>
      </c>
      <c r="E27" s="22" t="s">
        <v>289</v>
      </c>
      <c r="F27" s="23" t="s">
        <v>101</v>
      </c>
      <c r="G27" s="23" t="s">
        <v>287</v>
      </c>
      <c r="H27" s="8">
        <v>1</v>
      </c>
      <c r="I27" s="8" t="s">
        <v>14</v>
      </c>
      <c r="J27" s="15">
        <v>261.76</v>
      </c>
      <c r="K27" s="24" t="s">
        <v>314</v>
      </c>
      <c r="L27" s="24" t="s">
        <v>286</v>
      </c>
      <c r="M27" s="152">
        <v>164</v>
      </c>
      <c r="N27" s="152">
        <v>795</v>
      </c>
      <c r="O27" s="157">
        <v>38.5</v>
      </c>
      <c r="P27" s="157">
        <v>557</v>
      </c>
      <c r="Q27" s="162">
        <v>0.20899999999999999</v>
      </c>
      <c r="R27" s="162">
        <v>1.37</v>
      </c>
      <c r="S27" s="154">
        <v>149</v>
      </c>
      <c r="T27" s="152">
        <v>795</v>
      </c>
      <c r="U27" s="152">
        <v>9.4599999999999992E-6</v>
      </c>
      <c r="V27" s="152">
        <v>0.13800000000000001</v>
      </c>
      <c r="W27" s="152">
        <v>1.02E-4</v>
      </c>
      <c r="X27" s="152">
        <v>0.115</v>
      </c>
      <c r="Y27" s="166">
        <v>4.5999999999999999E-7</v>
      </c>
      <c r="Z27" s="157">
        <v>42</v>
      </c>
      <c r="AA27" s="169">
        <v>555</v>
      </c>
      <c r="AB27" s="169">
        <v>4.2599999999999999E-6</v>
      </c>
      <c r="AC27" s="157">
        <v>4.7199999999999999E-2</v>
      </c>
      <c r="AD27" s="169">
        <v>1.5100000000000001E-4</v>
      </c>
      <c r="AE27" s="157">
        <v>4.07E-2</v>
      </c>
      <c r="AF27" s="169">
        <v>4.1499999999999999E-12</v>
      </c>
      <c r="AG27" s="162">
        <v>2.13</v>
      </c>
      <c r="AH27" s="162">
        <v>1.37</v>
      </c>
      <c r="AI27" s="173">
        <v>1.4100000000000001E-8</v>
      </c>
      <c r="AJ27" s="162">
        <v>6.38E-4</v>
      </c>
      <c r="AK27" s="173">
        <v>3.0400000000000002E-7</v>
      </c>
      <c r="AL27" s="173">
        <v>4.9799999999999996E-4</v>
      </c>
      <c r="AM27" s="173">
        <v>3.2700000000000002E-13</v>
      </c>
    </row>
    <row r="28" spans="2:39" ht="51" customHeight="1" x14ac:dyDescent="0.25">
      <c r="B28" s="22">
        <f t="shared" si="0"/>
        <v>10</v>
      </c>
      <c r="C28" s="23" t="s">
        <v>441</v>
      </c>
      <c r="D28" s="23" t="s">
        <v>440</v>
      </c>
      <c r="E28" s="22" t="s">
        <v>290</v>
      </c>
      <c r="F28" s="23" t="s">
        <v>292</v>
      </c>
      <c r="G28" s="23" t="s">
        <v>291</v>
      </c>
      <c r="H28" s="8">
        <v>1000</v>
      </c>
      <c r="I28" s="8" t="s">
        <v>15</v>
      </c>
      <c r="J28" s="134">
        <v>420</v>
      </c>
      <c r="K28" s="24" t="s">
        <v>314</v>
      </c>
      <c r="L28" s="24" t="s">
        <v>293</v>
      </c>
      <c r="M28" s="152">
        <v>308</v>
      </c>
      <c r="N28" s="152">
        <v>4130</v>
      </c>
      <c r="O28" s="157">
        <v>2.0499999999999998</v>
      </c>
      <c r="P28" s="157">
        <v>40.9</v>
      </c>
      <c r="Q28" s="162">
        <v>0.95499999999999996</v>
      </c>
      <c r="R28" s="162">
        <v>10</v>
      </c>
      <c r="S28" s="154">
        <v>314</v>
      </c>
      <c r="T28" s="152">
        <v>3730</v>
      </c>
      <c r="U28" s="152">
        <v>2.6699999999999998E-4</v>
      </c>
      <c r="V28" s="152">
        <v>0.998</v>
      </c>
      <c r="W28" s="152">
        <v>0.20599999999999999</v>
      </c>
      <c r="X28" s="152">
        <v>5.1900000000000002E-2</v>
      </c>
      <c r="Y28" s="166">
        <v>5.06E-7</v>
      </c>
      <c r="Z28" s="169">
        <v>2.95</v>
      </c>
      <c r="AA28" s="157">
        <v>40.799999999999997</v>
      </c>
      <c r="AB28" s="169">
        <v>2.3699999999999999E-7</v>
      </c>
      <c r="AC28" s="157">
        <v>1.24E-2</v>
      </c>
      <c r="AD28" s="157">
        <v>3.0799999999999998E-3</v>
      </c>
      <c r="AE28" s="169">
        <v>-4.5300000000000002E-3</v>
      </c>
      <c r="AF28" s="169">
        <v>9.9000000000000002E-13</v>
      </c>
      <c r="AG28" s="162">
        <v>2.35</v>
      </c>
      <c r="AH28" s="162">
        <v>9.76</v>
      </c>
      <c r="AI28" s="173">
        <v>2.03E-7</v>
      </c>
      <c r="AJ28" s="162">
        <v>3.9899999999999996E-3</v>
      </c>
      <c r="AK28" s="162">
        <v>6.6E-4</v>
      </c>
      <c r="AL28" s="162">
        <v>-1.3300000000000001E-4</v>
      </c>
      <c r="AM28" s="173">
        <v>7.8999999999999997E-13</v>
      </c>
    </row>
    <row r="29" spans="2:39" ht="45" x14ac:dyDescent="0.25">
      <c r="B29" s="22">
        <f t="shared" si="0"/>
        <v>11</v>
      </c>
      <c r="C29" s="23" t="s">
        <v>298</v>
      </c>
      <c r="D29" s="23" t="s">
        <v>51</v>
      </c>
      <c r="E29" s="22" t="s">
        <v>295</v>
      </c>
      <c r="F29" s="23" t="s">
        <v>297</v>
      </c>
      <c r="G29" s="23" t="s">
        <v>296</v>
      </c>
      <c r="H29" s="8">
        <v>1</v>
      </c>
      <c r="I29" s="8" t="s">
        <v>15</v>
      </c>
      <c r="J29" s="15">
        <v>0.3</v>
      </c>
      <c r="K29" s="24" t="s">
        <v>314</v>
      </c>
      <c r="L29" s="24" t="s">
        <v>299</v>
      </c>
      <c r="M29" s="152">
        <f>37.13/450</f>
        <v>8.2511111111111118E-2</v>
      </c>
      <c r="N29" s="152">
        <f>486.4/450</f>
        <v>1.0808888888888888</v>
      </c>
      <c r="O29" s="157"/>
      <c r="P29" s="157">
        <f>15/450</f>
        <v>3.3333333333333333E-2</v>
      </c>
      <c r="Q29" s="162"/>
      <c r="R29" s="162">
        <f>56.56/450</f>
        <v>0.12568888888888891</v>
      </c>
      <c r="S29" s="154">
        <v>0.129</v>
      </c>
      <c r="T29" s="152">
        <f>516.46/450</f>
        <v>1.147688888888889</v>
      </c>
      <c r="U29" s="167">
        <f>0.000247/450</f>
        <v>5.4888888888888885E-7</v>
      </c>
      <c r="V29" s="152">
        <f>0.172/450</f>
        <v>3.8222222222222216E-4</v>
      </c>
      <c r="W29" s="152">
        <f>0.034/450</f>
        <v>7.5555555555555556E-5</v>
      </c>
      <c r="X29" s="152">
        <f>0.014/450</f>
        <v>3.111111111111111E-5</v>
      </c>
      <c r="Y29" s="166">
        <f>0.00000682/450</f>
        <v>1.5155555555555557E-8</v>
      </c>
      <c r="Z29" s="157">
        <f>1.117/450</f>
        <v>2.482222222222222E-3</v>
      </c>
      <c r="AA29" s="157">
        <f>122.912/450</f>
        <v>0.27313777777777781</v>
      </c>
      <c r="AB29" s="169">
        <f>0.00067/450</f>
        <v>1.4888888888888888E-6</v>
      </c>
      <c r="AC29" s="157">
        <f>0.078/450</f>
        <v>1.7333333333333334E-4</v>
      </c>
      <c r="AD29" s="157">
        <f>0.016/450</f>
        <v>3.5555555555555553E-5</v>
      </c>
      <c r="AE29" s="157">
        <f>0.004/450</f>
        <v>8.8888888888888883E-6</v>
      </c>
      <c r="AF29" s="157">
        <f>0.001/450</f>
        <v>2.2222222222222221E-6</v>
      </c>
      <c r="AG29" s="162">
        <f>4.188/450</f>
        <v>9.3066666666666662E-3</v>
      </c>
      <c r="AH29" s="162">
        <f>58.6/450</f>
        <v>0.13022222222222224</v>
      </c>
      <c r="AI29" s="173">
        <f>0.000149/450</f>
        <v>3.3111111111111109E-7</v>
      </c>
      <c r="AJ29" s="162">
        <f>0.018/450</f>
        <v>3.9999999999999996E-5</v>
      </c>
      <c r="AK29" s="162">
        <f>0.073/450</f>
        <v>1.6222222222222221E-4</v>
      </c>
      <c r="AL29" s="162">
        <f>0.004/450</f>
        <v>8.8888888888888883E-6</v>
      </c>
      <c r="AM29" s="173">
        <f>0.000000266/450</f>
        <v>5.9111111111111121E-10</v>
      </c>
    </row>
    <row r="30" spans="2:39" ht="30" x14ac:dyDescent="0.25">
      <c r="B30" s="22">
        <f t="shared" si="0"/>
        <v>12</v>
      </c>
      <c r="C30" s="22" t="s">
        <v>302</v>
      </c>
      <c r="D30" s="23" t="s">
        <v>62</v>
      </c>
      <c r="E30" s="22" t="s">
        <v>301</v>
      </c>
      <c r="F30" s="31" t="s">
        <v>303</v>
      </c>
      <c r="G30" s="23" t="s">
        <v>304</v>
      </c>
      <c r="H30" s="8">
        <v>1</v>
      </c>
      <c r="I30" s="8" t="s">
        <v>14</v>
      </c>
      <c r="J30" s="15">
        <v>1355.7</v>
      </c>
      <c r="K30" s="24" t="s">
        <v>314</v>
      </c>
      <c r="L30" s="24" t="s">
        <v>305</v>
      </c>
      <c r="M30" s="152">
        <v>8046</v>
      </c>
      <c r="N30" s="152">
        <v>2554</v>
      </c>
      <c r="O30" s="157">
        <v>1.6970000000000001</v>
      </c>
      <c r="P30" s="157">
        <v>115.5</v>
      </c>
      <c r="Q30" s="162">
        <v>4.2750000000000002E-3</v>
      </c>
      <c r="R30" s="162">
        <v>0.2445</v>
      </c>
      <c r="S30" s="154">
        <v>-622.70000000000005</v>
      </c>
      <c r="T30" s="152">
        <v>1018</v>
      </c>
      <c r="U30" s="152">
        <v>1.4919999999999999E-4</v>
      </c>
      <c r="V30" s="152">
        <v>0.41810000000000003</v>
      </c>
      <c r="W30" s="152">
        <v>9.4219999999999998E-2</v>
      </c>
      <c r="X30" s="152">
        <v>0.105</v>
      </c>
      <c r="Y30" s="164">
        <v>9.3950000000000007E-6</v>
      </c>
      <c r="Z30" s="157">
        <v>7.2190000000000003</v>
      </c>
      <c r="AA30" s="157">
        <v>109.3</v>
      </c>
      <c r="AB30" s="157">
        <v>1.7039999999999999E-5</v>
      </c>
      <c r="AC30" s="157">
        <v>3.7499999999999999E-2</v>
      </c>
      <c r="AD30" s="157">
        <v>8.2299999999999995E-3</v>
      </c>
      <c r="AE30" s="157">
        <v>1.341E-3</v>
      </c>
      <c r="AF30" s="169">
        <v>3.107E-7</v>
      </c>
      <c r="AG30" s="162">
        <v>1.5780000000000001</v>
      </c>
      <c r="AH30" s="162">
        <v>0.23130000000000001</v>
      </c>
      <c r="AI30" s="173">
        <v>1.66E-8</v>
      </c>
      <c r="AJ30" s="162">
        <v>1.551E-4</v>
      </c>
      <c r="AK30" s="162">
        <v>5.0939999999999997E-5</v>
      </c>
      <c r="AL30" s="162">
        <v>2.6000000000000001E-6</v>
      </c>
      <c r="AM30" s="173">
        <v>1.577E-9</v>
      </c>
    </row>
    <row r="31" spans="2:39" ht="36.6" customHeight="1" x14ac:dyDescent="0.25">
      <c r="B31" s="22">
        <f t="shared" si="0"/>
        <v>13</v>
      </c>
      <c r="C31" s="22" t="s">
        <v>310</v>
      </c>
      <c r="D31" s="22" t="s">
        <v>64</v>
      </c>
      <c r="E31" s="29" t="s">
        <v>309</v>
      </c>
      <c r="F31" s="31" t="s">
        <v>306</v>
      </c>
      <c r="G31" s="30" t="s">
        <v>307</v>
      </c>
      <c r="H31" s="137">
        <v>1000</v>
      </c>
      <c r="I31" s="8" t="s">
        <v>15</v>
      </c>
      <c r="J31" s="15">
        <v>50</v>
      </c>
      <c r="K31" s="24" t="s">
        <v>314</v>
      </c>
      <c r="L31" s="24" t="s">
        <v>308</v>
      </c>
      <c r="M31" s="152">
        <v>13</v>
      </c>
      <c r="N31" s="152">
        <v>29</v>
      </c>
      <c r="O31" s="157"/>
      <c r="P31" s="157">
        <v>15.045999999999999</v>
      </c>
      <c r="Q31" s="162"/>
      <c r="R31" s="162">
        <v>328.94099999999997</v>
      </c>
      <c r="S31" s="154">
        <v>2.2999999999999998</v>
      </c>
      <c r="T31" s="152">
        <v>29</v>
      </c>
      <c r="U31" s="152">
        <v>1.9999999999999999E-6</v>
      </c>
      <c r="V31" s="152">
        <v>0.01</v>
      </c>
      <c r="W31" s="152">
        <v>0.02</v>
      </c>
      <c r="X31" s="152">
        <v>1.1999999999999999E-3</v>
      </c>
      <c r="Y31" s="166">
        <v>4.6000000000000002E-8</v>
      </c>
      <c r="Z31" s="169">
        <v>1.3149999999999999</v>
      </c>
      <c r="AA31" s="169">
        <v>122.47499999999999</v>
      </c>
      <c r="AB31" s="169">
        <v>6.6799999999999997E-4</v>
      </c>
      <c r="AC31" s="169">
        <v>7.8E-2</v>
      </c>
      <c r="AD31" s="169">
        <v>1.6E-2</v>
      </c>
      <c r="AE31" s="169">
        <v>4.0000000000000001E-3</v>
      </c>
      <c r="AF31" s="169">
        <v>1E-3</v>
      </c>
      <c r="AG31" s="173">
        <v>2.98E-3</v>
      </c>
      <c r="AH31" s="162">
        <v>0.42199999999999999</v>
      </c>
      <c r="AI31" s="173">
        <v>1.103E-7</v>
      </c>
      <c r="AJ31" s="173">
        <v>1.309E-5</v>
      </c>
      <c r="AK31" s="173">
        <v>5.3635999999999999E-5</v>
      </c>
      <c r="AL31" s="173">
        <v>2.5330000000000001E-6</v>
      </c>
      <c r="AM31" s="173">
        <v>1.9699999999999999E-10</v>
      </c>
    </row>
    <row r="32" spans="2:39" ht="45" x14ac:dyDescent="0.25">
      <c r="B32" s="22">
        <f t="shared" si="0"/>
        <v>14</v>
      </c>
      <c r="C32" s="22" t="s">
        <v>318</v>
      </c>
      <c r="D32" s="22" t="s">
        <v>107</v>
      </c>
      <c r="E32" s="22" t="s">
        <v>315</v>
      </c>
      <c r="F32" s="28" t="s">
        <v>317</v>
      </c>
      <c r="G32" s="30" t="s">
        <v>316</v>
      </c>
      <c r="H32" s="137">
        <v>1000</v>
      </c>
      <c r="I32" s="8" t="s">
        <v>15</v>
      </c>
      <c r="J32" s="15">
        <v>3100</v>
      </c>
      <c r="K32" s="24" t="s">
        <v>314</v>
      </c>
      <c r="L32" s="24" t="s">
        <v>244</v>
      </c>
      <c r="M32" s="152">
        <v>1080</v>
      </c>
      <c r="N32" s="152">
        <v>4590</v>
      </c>
      <c r="O32" s="157">
        <v>2.0499999999999998</v>
      </c>
      <c r="P32" s="157">
        <v>44.1</v>
      </c>
      <c r="Q32" s="162">
        <v>1.03</v>
      </c>
      <c r="R32" s="162">
        <v>8.9700000000000006</v>
      </c>
      <c r="S32" s="154">
        <v>281</v>
      </c>
      <c r="T32" s="152">
        <v>4500</v>
      </c>
      <c r="U32" s="152">
        <v>4.0099999999999999E-4</v>
      </c>
      <c r="V32" s="152">
        <v>3.84</v>
      </c>
      <c r="W32" s="152">
        <v>0.32200000000000001</v>
      </c>
      <c r="X32" s="152">
        <v>0.20200000000000001</v>
      </c>
      <c r="Y32" s="164">
        <v>2.1100000000000001E-6</v>
      </c>
      <c r="Z32" s="157">
        <v>3.24</v>
      </c>
      <c r="AA32" s="157">
        <v>43.7</v>
      </c>
      <c r="AB32" s="169">
        <v>2.7599999999999998E-7</v>
      </c>
      <c r="AC32" s="157">
        <v>2.3600000000000001E-3</v>
      </c>
      <c r="AD32" s="157">
        <v>4.6999999999999999E-4</v>
      </c>
      <c r="AE32" s="157">
        <v>-3.04E-5</v>
      </c>
      <c r="AF32" s="169">
        <v>2.3200000000000002E-13</v>
      </c>
      <c r="AG32" s="162">
        <v>7.56</v>
      </c>
      <c r="AH32" s="162">
        <v>8.6300000000000008</v>
      </c>
      <c r="AI32" s="173">
        <v>6.3500000000000006E-8</v>
      </c>
      <c r="AJ32" s="162">
        <v>3.2200000000000002E-3</v>
      </c>
      <c r="AK32" s="162">
        <v>5.4000000000000001E-4</v>
      </c>
      <c r="AL32" s="162">
        <v>-9.2700000000000004E-5</v>
      </c>
      <c r="AM32" s="173">
        <v>5.46E-13</v>
      </c>
    </row>
    <row r="33" spans="2:39" ht="30" customHeight="1" x14ac:dyDescent="0.25">
      <c r="B33" s="22">
        <f t="shared" si="0"/>
        <v>15</v>
      </c>
      <c r="C33" s="22" t="s">
        <v>436</v>
      </c>
      <c r="D33" s="22" t="s">
        <v>65</v>
      </c>
      <c r="E33" s="22" t="s">
        <v>331</v>
      </c>
      <c r="F33" s="28" t="s">
        <v>330</v>
      </c>
      <c r="G33" s="23" t="s">
        <v>333</v>
      </c>
      <c r="H33" s="8">
        <v>1</v>
      </c>
      <c r="I33" s="8" t="s">
        <v>332</v>
      </c>
      <c r="J33" s="15">
        <v>32.21</v>
      </c>
      <c r="K33" s="24" t="s">
        <v>314</v>
      </c>
      <c r="L33" s="4" t="s">
        <v>244</v>
      </c>
      <c r="M33" s="152">
        <v>40.799999999999997</v>
      </c>
      <c r="N33" s="152">
        <v>188</v>
      </c>
      <c r="O33" s="157">
        <v>1.2699999999999999E-2</v>
      </c>
      <c r="P33" s="157">
        <v>9.19</v>
      </c>
      <c r="Q33" s="162">
        <v>2.0099999999999998</v>
      </c>
      <c r="R33" s="162">
        <v>10.4</v>
      </c>
      <c r="S33" s="154">
        <v>11.8</v>
      </c>
      <c r="T33" s="152">
        <v>163</v>
      </c>
      <c r="U33" s="152">
        <v>3.4499999999999998E-4</v>
      </c>
      <c r="V33" s="152">
        <v>2.9399999999999999E-2</v>
      </c>
      <c r="W33" s="152">
        <v>3.5200000000000001E-3</v>
      </c>
      <c r="X33" s="152">
        <v>2.0899999999999998E-3</v>
      </c>
      <c r="Y33" s="164">
        <v>1.9700000000000002E-6</v>
      </c>
      <c r="Z33" s="157">
        <v>0.60599999999999998</v>
      </c>
      <c r="AA33" s="157">
        <v>8.64</v>
      </c>
      <c r="AB33" s="169">
        <v>2.6000000000000001E-8</v>
      </c>
      <c r="AC33" s="157">
        <v>1.01E-3</v>
      </c>
      <c r="AD33" s="157">
        <v>1.1900000000000001E-4</v>
      </c>
      <c r="AE33" s="157">
        <v>5.0300000000000003E-5</v>
      </c>
      <c r="AF33" s="169">
        <v>1.12E-7</v>
      </c>
      <c r="AG33" s="162">
        <v>1.1100000000000001</v>
      </c>
      <c r="AH33" s="162">
        <v>8.0399999999999991</v>
      </c>
      <c r="AI33" s="162">
        <v>1.04E-5</v>
      </c>
      <c r="AJ33" s="162">
        <v>2.5999999999999999E-3</v>
      </c>
      <c r="AK33" s="162">
        <v>3.79E-4</v>
      </c>
      <c r="AL33" s="162">
        <v>1.8100000000000001E-4</v>
      </c>
      <c r="AM33" s="173">
        <v>8.3000000000000002E-8</v>
      </c>
    </row>
    <row r="34" spans="2:39" ht="42.6" customHeight="1" x14ac:dyDescent="0.25">
      <c r="B34" s="22">
        <f t="shared" si="0"/>
        <v>16</v>
      </c>
      <c r="C34" s="22" t="s">
        <v>323</v>
      </c>
      <c r="D34" s="22" t="s">
        <v>66</v>
      </c>
      <c r="E34" s="22" t="s">
        <v>322</v>
      </c>
      <c r="F34" s="28" t="s">
        <v>319</v>
      </c>
      <c r="G34" s="23" t="s">
        <v>321</v>
      </c>
      <c r="H34" s="8">
        <v>1</v>
      </c>
      <c r="I34" s="8" t="s">
        <v>15</v>
      </c>
      <c r="J34" s="15">
        <v>0.6</v>
      </c>
      <c r="K34" s="24" t="s">
        <v>314</v>
      </c>
      <c r="L34" s="24" t="s">
        <v>320</v>
      </c>
      <c r="M34" s="152">
        <v>1.95</v>
      </c>
      <c r="N34" s="152">
        <v>7.35</v>
      </c>
      <c r="O34" s="157"/>
      <c r="P34" s="157">
        <v>1.35</v>
      </c>
      <c r="Q34" s="162"/>
      <c r="R34" s="173">
        <v>5.4000000000000001E-4</v>
      </c>
      <c r="S34" s="154">
        <v>0.51400000000000001</v>
      </c>
      <c r="T34" s="152">
        <v>6.72</v>
      </c>
      <c r="U34" s="167">
        <v>5.7800000000000001E-7</v>
      </c>
      <c r="V34" s="152">
        <v>1.5499999999999999E-3</v>
      </c>
      <c r="W34" s="152">
        <v>4.8099999999999998E-4</v>
      </c>
      <c r="X34" s="152">
        <v>8.3599999999999999E-5</v>
      </c>
      <c r="Y34" s="166">
        <v>3.1900000000000001E-8</v>
      </c>
      <c r="Z34" s="169">
        <v>2.4799999999999999E-2</v>
      </c>
      <c r="AA34" s="169">
        <v>2.7467999999999999</v>
      </c>
      <c r="AB34" s="169">
        <v>9.2399999999999996E-5</v>
      </c>
      <c r="AC34" s="169">
        <v>1.6000000000000001E-3</v>
      </c>
      <c r="AD34" s="169">
        <v>3.4959999999999999E-4</v>
      </c>
      <c r="AE34" s="169">
        <v>9.2399999999999996E-5</v>
      </c>
      <c r="AF34" s="169">
        <v>3.2480000000000001E-5</v>
      </c>
      <c r="AG34" s="173">
        <v>2.9799999999999998E-6</v>
      </c>
      <c r="AH34" s="173">
        <v>4.1600000000000002E-5</v>
      </c>
      <c r="AI34" s="173">
        <v>1.104E-10</v>
      </c>
      <c r="AJ34" s="173">
        <v>1.3119999999999999E-8</v>
      </c>
      <c r="AK34" s="173">
        <v>5.3599999999999997E-8</v>
      </c>
      <c r="AL34" s="173">
        <v>2.5319999999999999E-9</v>
      </c>
      <c r="AM34" s="173">
        <v>1.968E-13</v>
      </c>
    </row>
    <row r="35" spans="2:39" ht="50.25" customHeight="1" x14ac:dyDescent="0.25">
      <c r="B35" s="22">
        <f t="shared" si="0"/>
        <v>17</v>
      </c>
      <c r="C35" s="22" t="s">
        <v>326</v>
      </c>
      <c r="D35" s="22" t="s">
        <v>360</v>
      </c>
      <c r="E35" s="22" t="s">
        <v>533</v>
      </c>
      <c r="F35" s="28" t="s">
        <v>325</v>
      </c>
      <c r="G35" s="23" t="s">
        <v>529</v>
      </c>
      <c r="H35" s="8">
        <v>1</v>
      </c>
      <c r="I35" s="8" t="s">
        <v>15</v>
      </c>
      <c r="J35" s="134">
        <v>0.25</v>
      </c>
      <c r="K35" s="24" t="s">
        <v>314</v>
      </c>
      <c r="L35" s="24" t="s">
        <v>320</v>
      </c>
      <c r="M35" s="152">
        <v>0.38</v>
      </c>
      <c r="N35" s="152">
        <v>5.24</v>
      </c>
      <c r="O35" s="157"/>
      <c r="P35" s="157"/>
      <c r="Q35" s="162"/>
      <c r="R35" s="162"/>
      <c r="S35" s="154">
        <v>0.57499999999999996</v>
      </c>
      <c r="T35" s="152">
        <v>5.23</v>
      </c>
      <c r="U35" s="152">
        <v>8.32E-6</v>
      </c>
      <c r="V35" s="152">
        <v>2.1299999999999999E-3</v>
      </c>
      <c r="W35" s="152">
        <v>1.05E-4</v>
      </c>
      <c r="X35" s="152">
        <v>1.56E-3</v>
      </c>
      <c r="Y35" s="166">
        <v>4.3499999999999999E-8</v>
      </c>
      <c r="Z35" s="169">
        <v>3.2856999999999997E-2</v>
      </c>
      <c r="AA35" s="169">
        <v>0.3614</v>
      </c>
      <c r="AB35" s="169">
        <v>1.9700000000000002E-6</v>
      </c>
      <c r="AC35" s="169">
        <v>2.2856999999999999E-4</v>
      </c>
      <c r="AD35" s="169">
        <v>4.4898000000000003E-5</v>
      </c>
      <c r="AE35" s="169">
        <v>1.2244799999999999E-4</v>
      </c>
      <c r="AF35" s="169">
        <v>4.0819999999999999E-5</v>
      </c>
      <c r="AG35" s="173">
        <v>2.9799999999999998E-6</v>
      </c>
      <c r="AH35" s="173">
        <v>4.0819999999999999E-5</v>
      </c>
      <c r="AI35" s="173">
        <v>1.102E-10</v>
      </c>
      <c r="AJ35" s="173">
        <v>1.3101999999999999E-5</v>
      </c>
      <c r="AK35" s="173">
        <v>5.3470000000000002E-8</v>
      </c>
      <c r="AL35" s="173">
        <v>2.5340000000000001E-9</v>
      </c>
      <c r="AM35" s="173">
        <v>1.9670000000000001E-13</v>
      </c>
    </row>
    <row r="36" spans="2:39" ht="107.25" customHeight="1" x14ac:dyDescent="0.25">
      <c r="B36" s="22">
        <f t="shared" si="0"/>
        <v>18</v>
      </c>
      <c r="C36" s="22" t="s">
        <v>328</v>
      </c>
      <c r="D36" s="28" t="s">
        <v>362</v>
      </c>
      <c r="E36" s="22" t="s">
        <v>329</v>
      </c>
      <c r="F36" s="28" t="s">
        <v>327</v>
      </c>
      <c r="G36" s="30" t="s">
        <v>361</v>
      </c>
      <c r="H36" s="137">
        <f>1/935</f>
        <v>1.0695187165775401E-3</v>
      </c>
      <c r="I36" s="8" t="s">
        <v>14</v>
      </c>
      <c r="J36" s="15">
        <v>1.73</v>
      </c>
      <c r="K36" s="24" t="s">
        <v>314</v>
      </c>
      <c r="L36" s="24" t="s">
        <v>411</v>
      </c>
      <c r="M36" s="152">
        <v>3.6055999999999999</v>
      </c>
      <c r="N36" s="152">
        <v>89.1</v>
      </c>
      <c r="O36" s="157">
        <v>1.77E-2</v>
      </c>
      <c r="P36" s="157">
        <v>1.23</v>
      </c>
      <c r="Q36" s="162">
        <v>5.7299999999999997E-5</v>
      </c>
      <c r="R36" s="162">
        <v>7.76E-4</v>
      </c>
      <c r="S36" s="154">
        <v>2.774</v>
      </c>
      <c r="T36" s="152">
        <v>89.06</v>
      </c>
      <c r="U36" s="152">
        <v>1.411E-5</v>
      </c>
      <c r="V36" s="152">
        <v>10.612719999999999</v>
      </c>
      <c r="W36" s="152">
        <v>1.0725000000000001E-3</v>
      </c>
      <c r="X36" s="152">
        <v>1.2630000000000001E-2</v>
      </c>
      <c r="Y36" s="164">
        <v>4.7185800000000003E-6</v>
      </c>
      <c r="Z36" s="157">
        <v>8.3400000000000002E-2</v>
      </c>
      <c r="AA36" s="157">
        <v>1.23</v>
      </c>
      <c r="AB36" s="169">
        <v>2.9499999999999998E-7</v>
      </c>
      <c r="AC36" s="157">
        <v>3.3700000000000001E-4</v>
      </c>
      <c r="AD36" s="157">
        <v>5.5899999999999998E-6</v>
      </c>
      <c r="AE36" s="157">
        <v>3.4000000000000002E-4</v>
      </c>
      <c r="AF36" s="169">
        <v>1.92E-8</v>
      </c>
      <c r="AG36" s="162">
        <v>3.5200000000000002E-5</v>
      </c>
      <c r="AH36" s="162">
        <v>7.7300000000000003E-4</v>
      </c>
      <c r="AI36" s="173">
        <v>2.2300000000000001E-10</v>
      </c>
      <c r="AJ36" s="173">
        <v>5.0699999999999997E-7</v>
      </c>
      <c r="AK36" s="173">
        <v>8.6700000000000002E-8</v>
      </c>
      <c r="AL36" s="173">
        <v>1.73E-7</v>
      </c>
      <c r="AM36" s="173">
        <v>9.9999999999999998E-13</v>
      </c>
    </row>
    <row r="37" spans="2:39" ht="75" x14ac:dyDescent="0.25">
      <c r="B37" s="22">
        <f t="shared" si="0"/>
        <v>19</v>
      </c>
      <c r="C37" s="22" t="s">
        <v>328</v>
      </c>
      <c r="D37" s="28" t="s">
        <v>94</v>
      </c>
      <c r="E37" s="22" t="s">
        <v>335</v>
      </c>
      <c r="F37" s="28" t="s">
        <v>334</v>
      </c>
      <c r="G37" s="30" t="s">
        <v>336</v>
      </c>
      <c r="H37" s="8">
        <v>1</v>
      </c>
      <c r="I37" s="8" t="s">
        <v>332</v>
      </c>
      <c r="J37" s="15">
        <v>29.71</v>
      </c>
      <c r="K37" s="24" t="s">
        <v>314</v>
      </c>
      <c r="L37" s="24" t="s">
        <v>281</v>
      </c>
      <c r="M37" s="152">
        <v>281.5</v>
      </c>
      <c r="N37" s="152">
        <v>91.54</v>
      </c>
      <c r="O37" s="157">
        <v>5.5879999999999999E-2</v>
      </c>
      <c r="P37" s="157">
        <v>0.97460000000000002</v>
      </c>
      <c r="Q37" s="162">
        <v>1.281E-2</v>
      </c>
      <c r="R37" s="162">
        <v>9.3299999999999994E-2</v>
      </c>
      <c r="S37" s="154">
        <v>-6.8029999999999999</v>
      </c>
      <c r="T37" s="152">
        <v>91.4</v>
      </c>
      <c r="U37" s="152">
        <v>1.677E-5</v>
      </c>
      <c r="V37" s="152">
        <v>2.8240000000000001E-2</v>
      </c>
      <c r="W37" s="152">
        <v>1.6469999999999999E-4</v>
      </c>
      <c r="X37" s="152">
        <v>4.1419999999999998E-2</v>
      </c>
      <c r="Y37" s="166">
        <v>1.097E-7</v>
      </c>
      <c r="Z37" s="169">
        <v>7.3429999999999995E-2</v>
      </c>
      <c r="AA37" s="169">
        <v>0.97099999999999997</v>
      </c>
      <c r="AB37" s="169">
        <v>6.4620000000000002E-9</v>
      </c>
      <c r="AC37" s="169">
        <v>8.4859999999999997E-5</v>
      </c>
      <c r="AD37" s="169">
        <v>2.1659999999999999E-7</v>
      </c>
      <c r="AE37" s="169">
        <v>7.4649999999999998E-5</v>
      </c>
      <c r="AF37" s="169">
        <v>1.4390000000000001E-17</v>
      </c>
      <c r="AG37" s="162">
        <v>0.93759999999999999</v>
      </c>
      <c r="AH37" s="162">
        <v>9.3130000000000004E-2</v>
      </c>
      <c r="AI37" s="173">
        <v>7.5839999999999999E-10</v>
      </c>
      <c r="AJ37" s="173">
        <v>4.545E-5</v>
      </c>
      <c r="AK37" s="173">
        <v>1.324E-8</v>
      </c>
      <c r="AL37" s="162">
        <v>3.1080000000000001E-5</v>
      </c>
      <c r="AM37" s="173">
        <v>3.3259999999999997E-17</v>
      </c>
    </row>
    <row r="38" spans="2:39" ht="40.15" customHeight="1" x14ac:dyDescent="0.25">
      <c r="B38" s="22">
        <f t="shared" si="0"/>
        <v>20</v>
      </c>
      <c r="C38" s="22" t="s">
        <v>328</v>
      </c>
      <c r="D38" s="28" t="s">
        <v>95</v>
      </c>
      <c r="E38" s="22" t="s">
        <v>339</v>
      </c>
      <c r="F38" s="28" t="s">
        <v>338</v>
      </c>
      <c r="G38" s="30" t="s">
        <v>337</v>
      </c>
      <c r="H38" s="8">
        <v>1</v>
      </c>
      <c r="I38" s="8" t="s">
        <v>14</v>
      </c>
      <c r="J38" s="15">
        <v>1430.67</v>
      </c>
      <c r="K38" s="24" t="s">
        <v>314</v>
      </c>
      <c r="L38" s="24" t="s">
        <v>320</v>
      </c>
      <c r="M38" s="152">
        <v>13670</v>
      </c>
      <c r="N38" s="152">
        <v>8170</v>
      </c>
      <c r="O38" s="157">
        <v>18.89</v>
      </c>
      <c r="P38" s="157">
        <v>1676</v>
      </c>
      <c r="Q38" s="162">
        <v>0.40949999999999998</v>
      </c>
      <c r="R38" s="162">
        <v>1.9079999999999999</v>
      </c>
      <c r="S38" s="154">
        <v>-462.3</v>
      </c>
      <c r="T38" s="152">
        <v>7613</v>
      </c>
      <c r="U38" s="152">
        <v>6.7049999999999998E-4</v>
      </c>
      <c r="V38" s="152">
        <v>4.149</v>
      </c>
      <c r="W38" s="152">
        <v>115.2</v>
      </c>
      <c r="X38" s="152">
        <v>2.1160000000000001</v>
      </c>
      <c r="Y38" s="164">
        <v>2.323E-5</v>
      </c>
      <c r="Z38" s="157">
        <v>116.7</v>
      </c>
      <c r="AA38" s="157">
        <v>1579</v>
      </c>
      <c r="AB38" s="157">
        <v>4.3330000000000002E-4</v>
      </c>
      <c r="AC38" s="157">
        <v>2.0710000000000002</v>
      </c>
      <c r="AD38" s="157">
        <v>0.2001</v>
      </c>
      <c r="AE38" s="157">
        <v>1.393</v>
      </c>
      <c r="AF38" s="157">
        <v>2.3390000000000001E-5</v>
      </c>
      <c r="AG38" s="162">
        <v>0.28720000000000001</v>
      </c>
      <c r="AH38" s="162">
        <v>1.7909999999999999</v>
      </c>
      <c r="AI38" s="173">
        <v>4.2339999999999999E-7</v>
      </c>
      <c r="AJ38" s="162">
        <v>1.093E-3</v>
      </c>
      <c r="AK38" s="162">
        <v>4.9589999999999996E-4</v>
      </c>
      <c r="AL38" s="162">
        <v>7.5880000000000001E-4</v>
      </c>
      <c r="AM38" s="173">
        <v>8.8249999999999996E-9</v>
      </c>
    </row>
    <row r="39" spans="2:39" ht="111" customHeight="1" x14ac:dyDescent="0.25">
      <c r="B39" s="22">
        <f t="shared" si="0"/>
        <v>21</v>
      </c>
      <c r="C39" s="22" t="s">
        <v>340</v>
      </c>
      <c r="D39" s="212" t="s">
        <v>57</v>
      </c>
      <c r="E39" s="22" t="s">
        <v>343</v>
      </c>
      <c r="F39" s="28" t="s">
        <v>341</v>
      </c>
      <c r="G39" s="30" t="s">
        <v>342</v>
      </c>
      <c r="H39" s="8">
        <v>1</v>
      </c>
      <c r="I39" s="8" t="s">
        <v>14</v>
      </c>
      <c r="J39" s="15">
        <v>96.5</v>
      </c>
      <c r="K39" s="24" t="s">
        <v>314</v>
      </c>
      <c r="L39" s="24" t="s">
        <v>281</v>
      </c>
      <c r="M39" s="152">
        <v>438.9</v>
      </c>
      <c r="N39" s="152">
        <v>2099</v>
      </c>
      <c r="O39" s="157">
        <v>2.5369999999999999</v>
      </c>
      <c r="P39" s="157">
        <v>44.05</v>
      </c>
      <c r="Q39" s="162">
        <v>9.5449999999999999</v>
      </c>
      <c r="R39" s="162">
        <v>46.96</v>
      </c>
      <c r="S39" s="154">
        <v>173.4</v>
      </c>
      <c r="T39" s="152">
        <v>1981</v>
      </c>
      <c r="U39" s="152">
        <v>3.8269999999999998E-5</v>
      </c>
      <c r="V39" s="152">
        <v>1.0149999999999999</v>
      </c>
      <c r="W39" s="152">
        <v>0.1391</v>
      </c>
      <c r="X39" s="152">
        <v>5.9959999999999999E-2</v>
      </c>
      <c r="Y39" s="166">
        <v>5.5579999999999998E-10</v>
      </c>
      <c r="Z39" s="169">
        <v>3.24</v>
      </c>
      <c r="AA39" s="169">
        <v>43.6</v>
      </c>
      <c r="AB39" s="169">
        <v>2.664E-7</v>
      </c>
      <c r="AC39" s="169">
        <v>4.7920000000000003E-3</v>
      </c>
      <c r="AD39" s="169">
        <v>1.044E-3</v>
      </c>
      <c r="AE39" s="169">
        <v>-1.075E-3</v>
      </c>
      <c r="AF39" s="169">
        <v>8.0449999999999996E-16</v>
      </c>
      <c r="AG39" s="162">
        <v>22.14</v>
      </c>
      <c r="AH39" s="162">
        <v>44.07</v>
      </c>
      <c r="AI39" s="173">
        <v>8.0729999999999998E-7</v>
      </c>
      <c r="AJ39" s="162">
        <v>2.2190000000000001E-2</v>
      </c>
      <c r="AK39" s="162">
        <v>3.1640000000000001E-3</v>
      </c>
      <c r="AL39" s="162">
        <v>1.3290000000000001E-3</v>
      </c>
      <c r="AM39" s="173">
        <v>1.1119999999999999E-11</v>
      </c>
    </row>
    <row r="40" spans="2:39" ht="80.25" customHeight="1" x14ac:dyDescent="0.25">
      <c r="B40" s="22">
        <f t="shared" si="0"/>
        <v>22</v>
      </c>
      <c r="C40" s="22" t="s">
        <v>340</v>
      </c>
      <c r="D40" s="28" t="s">
        <v>57</v>
      </c>
      <c r="E40" s="22" t="s">
        <v>345</v>
      </c>
      <c r="F40" s="28" t="s">
        <v>344</v>
      </c>
      <c r="G40" s="23" t="s">
        <v>346</v>
      </c>
      <c r="H40" s="8">
        <v>0.06</v>
      </c>
      <c r="I40" s="8" t="s">
        <v>14</v>
      </c>
      <c r="J40" s="15">
        <v>30.69</v>
      </c>
      <c r="K40" s="24" t="s">
        <v>314</v>
      </c>
      <c r="L40" s="24" t="s">
        <v>320</v>
      </c>
      <c r="M40" s="152">
        <v>12.2</v>
      </c>
      <c r="N40" s="152">
        <v>241</v>
      </c>
      <c r="O40" s="157"/>
      <c r="P40" s="157">
        <v>3.645</v>
      </c>
      <c r="Q40" s="162"/>
      <c r="R40" s="162">
        <v>4.3999999999999997E-2</v>
      </c>
      <c r="S40" s="154">
        <v>10.9</v>
      </c>
      <c r="T40" s="152">
        <v>225</v>
      </c>
      <c r="U40" s="152">
        <v>3.23E-6</v>
      </c>
      <c r="V40" s="152">
        <v>6.3500000000000001E-2</v>
      </c>
      <c r="W40" s="152">
        <v>5.6499999999999996E-4</v>
      </c>
      <c r="X40" s="152">
        <v>4.19E-2</v>
      </c>
      <c r="Y40" s="164">
        <v>1.7999999999999999E-6</v>
      </c>
      <c r="Z40" s="157">
        <v>0.27</v>
      </c>
      <c r="AA40" s="157">
        <v>29.672999999999998</v>
      </c>
      <c r="AB40" s="169">
        <v>1.6200000000000001E-4</v>
      </c>
      <c r="AC40" s="157">
        <v>1.9E-2</v>
      </c>
      <c r="AD40" s="157">
        <v>4.0000000000000001E-3</v>
      </c>
      <c r="AE40" s="169">
        <v>9.9799999999999997E-4</v>
      </c>
      <c r="AF40" s="169">
        <v>3.5100000000000002E-4</v>
      </c>
      <c r="AG40" s="162">
        <v>6.0000000000000001E-3</v>
      </c>
      <c r="AH40" s="162">
        <v>0.09</v>
      </c>
      <c r="AI40" s="173">
        <v>2.3699999999999999E-7</v>
      </c>
      <c r="AJ40" s="173">
        <v>2.8099999999999999E-5</v>
      </c>
      <c r="AK40" s="173">
        <v>1.15E-4</v>
      </c>
      <c r="AL40" s="173">
        <v>5.4399999999999996E-6</v>
      </c>
      <c r="AM40" s="173">
        <v>4.2199999999999999E-10</v>
      </c>
    </row>
    <row r="41" spans="2:39" ht="78.75" customHeight="1" x14ac:dyDescent="0.25">
      <c r="B41" s="22">
        <f t="shared" si="0"/>
        <v>23</v>
      </c>
      <c r="C41" s="22" t="s">
        <v>340</v>
      </c>
      <c r="D41" s="28" t="s">
        <v>57</v>
      </c>
      <c r="E41" s="22" t="s">
        <v>347</v>
      </c>
      <c r="F41" s="28" t="s">
        <v>349</v>
      </c>
      <c r="G41" s="23" t="s">
        <v>348</v>
      </c>
      <c r="H41" s="8">
        <v>0.13</v>
      </c>
      <c r="I41" s="8" t="s">
        <v>14</v>
      </c>
      <c r="J41" s="15">
        <v>290.39999999999998</v>
      </c>
      <c r="K41" s="24" t="s">
        <v>314</v>
      </c>
      <c r="L41" s="24" t="s">
        <v>281</v>
      </c>
      <c r="M41" s="152">
        <v>19.399999999999999</v>
      </c>
      <c r="N41" s="152">
        <v>378</v>
      </c>
      <c r="O41" s="157">
        <v>0.20499999999999999</v>
      </c>
      <c r="P41" s="157">
        <v>5.22</v>
      </c>
      <c r="Q41" s="162">
        <v>0.157</v>
      </c>
      <c r="R41" s="162">
        <v>1.1200000000000001</v>
      </c>
      <c r="S41" s="154">
        <v>16.600000000000001</v>
      </c>
      <c r="T41" s="152">
        <v>377</v>
      </c>
      <c r="U41" s="152">
        <v>3.9700000000000003E-5</v>
      </c>
      <c r="V41" s="152">
        <v>4.3200000000000002E-2</v>
      </c>
      <c r="W41" s="152">
        <v>5.4900000000000001E-3</v>
      </c>
      <c r="X41" s="152">
        <v>6.6800000000000002E-3</v>
      </c>
      <c r="Y41" s="164">
        <v>2.1100000000000001E-5</v>
      </c>
      <c r="Z41" s="157">
        <v>0.377</v>
      </c>
      <c r="AA41" s="157">
        <v>5.22</v>
      </c>
      <c r="AB41" s="169">
        <v>1.4E-8</v>
      </c>
      <c r="AC41" s="157">
        <v>2.3599999999999999E-2</v>
      </c>
      <c r="AD41" s="157">
        <v>5.6599999999999999E-4</v>
      </c>
      <c r="AE41" s="157">
        <v>-9.5399999999999999E-4</v>
      </c>
      <c r="AF41" s="169">
        <v>6.5799999999999998E-12</v>
      </c>
      <c r="AG41" s="162">
        <v>1.08</v>
      </c>
      <c r="AH41" s="162">
        <v>1.1200000000000001</v>
      </c>
      <c r="AI41" s="173">
        <v>1.28E-8</v>
      </c>
      <c r="AJ41" s="162">
        <v>6.1200000000000002E-4</v>
      </c>
      <c r="AK41" s="162">
        <v>1.06E-4</v>
      </c>
      <c r="AL41" s="162">
        <v>3.8300000000000003E-5</v>
      </c>
      <c r="AM41" s="173">
        <v>1.3200000000000001E-10</v>
      </c>
    </row>
    <row r="42" spans="2:39" ht="80.25" customHeight="1" x14ac:dyDescent="0.25">
      <c r="B42" s="22">
        <f t="shared" si="0"/>
        <v>24</v>
      </c>
      <c r="C42" s="22" t="s">
        <v>340</v>
      </c>
      <c r="D42" s="28" t="s">
        <v>57</v>
      </c>
      <c r="E42" s="22" t="s">
        <v>350</v>
      </c>
      <c r="F42" s="28" t="s">
        <v>351</v>
      </c>
      <c r="G42" s="23" t="s">
        <v>352</v>
      </c>
      <c r="H42" s="8">
        <v>1</v>
      </c>
      <c r="I42" s="8" t="s">
        <v>14</v>
      </c>
      <c r="J42" s="15">
        <v>114.5</v>
      </c>
      <c r="K42" s="24" t="s">
        <v>314</v>
      </c>
      <c r="L42" s="24" t="s">
        <v>244</v>
      </c>
      <c r="M42" s="152">
        <v>1160</v>
      </c>
      <c r="N42" s="152">
        <v>106</v>
      </c>
      <c r="O42" s="157">
        <v>0.46</v>
      </c>
      <c r="P42" s="157">
        <v>2.5700000000000001E-2</v>
      </c>
      <c r="Q42" s="162">
        <v>1.8</v>
      </c>
      <c r="R42" s="162">
        <v>0.41299999999999998</v>
      </c>
      <c r="S42" s="154">
        <v>34.369999999999997</v>
      </c>
      <c r="T42" s="152">
        <v>1160</v>
      </c>
      <c r="U42" s="152">
        <v>3.8399999999999997E-6</v>
      </c>
      <c r="V42" s="152">
        <v>0.122</v>
      </c>
      <c r="W42" s="152">
        <v>1.25E-4</v>
      </c>
      <c r="X42" s="152">
        <v>8.8200000000000001E-2</v>
      </c>
      <c r="Y42" s="166">
        <v>1.2900000000000001E-9</v>
      </c>
      <c r="Z42" s="169">
        <v>0.03</v>
      </c>
      <c r="AA42" s="169">
        <v>0.46</v>
      </c>
      <c r="AB42" s="169">
        <v>2.6299999999999998E-9</v>
      </c>
      <c r="AC42" s="169">
        <v>1.1E-4</v>
      </c>
      <c r="AD42" s="169">
        <v>1.03E-7</v>
      </c>
      <c r="AE42" s="169">
        <v>9.8599999999999998E-5</v>
      </c>
      <c r="AF42" s="169">
        <v>4.4099999999999996E-18</v>
      </c>
      <c r="AG42" s="162">
        <v>5.89</v>
      </c>
      <c r="AH42" s="162">
        <v>1.79</v>
      </c>
      <c r="AI42" s="162" t="s">
        <v>641</v>
      </c>
      <c r="AJ42" s="162">
        <v>8.7000000000000001E-4</v>
      </c>
      <c r="AK42" s="173">
        <v>7.9999999999999996E-7</v>
      </c>
      <c r="AL42" s="162">
        <v>7.5600000000000005E-4</v>
      </c>
      <c r="AM42" s="173">
        <v>1.25E-15</v>
      </c>
    </row>
    <row r="43" spans="2:39" ht="80.25" customHeight="1" x14ac:dyDescent="0.25">
      <c r="B43" s="22">
        <f t="shared" si="0"/>
        <v>25</v>
      </c>
      <c r="C43" s="22" t="s">
        <v>340</v>
      </c>
      <c r="D43" s="28" t="s">
        <v>57</v>
      </c>
      <c r="E43" s="22" t="s">
        <v>354</v>
      </c>
      <c r="F43" s="28" t="s">
        <v>355</v>
      </c>
      <c r="G43" s="23" t="s">
        <v>353</v>
      </c>
      <c r="H43" s="8">
        <v>0.3</v>
      </c>
      <c r="I43" s="8" t="s">
        <v>14</v>
      </c>
      <c r="J43" s="134">
        <v>203.13</v>
      </c>
      <c r="K43" s="24" t="s">
        <v>314</v>
      </c>
      <c r="L43" s="24" t="s">
        <v>356</v>
      </c>
      <c r="M43" s="152">
        <v>120.511</v>
      </c>
      <c r="N43" s="152">
        <v>47.96</v>
      </c>
      <c r="O43" s="157">
        <v>6.93E-2</v>
      </c>
      <c r="P43" s="157">
        <v>5.71</v>
      </c>
      <c r="Q43" s="162">
        <v>0.19700000000000001</v>
      </c>
      <c r="R43" s="162">
        <v>1.26</v>
      </c>
      <c r="S43" s="154">
        <v>3.488</v>
      </c>
      <c r="T43" s="152">
        <v>45.93</v>
      </c>
      <c r="U43" s="152">
        <v>1.8578999999999998E-2</v>
      </c>
      <c r="V43" s="152">
        <v>2.4022999999999999E-2</v>
      </c>
      <c r="W43" s="152">
        <v>3.777E-3</v>
      </c>
      <c r="X43" s="152">
        <v>1.1463999999999999E-3</v>
      </c>
      <c r="Y43" s="166">
        <v>3.7669999999999998E-7</v>
      </c>
      <c r="Z43" s="169">
        <v>0.36099999999999999</v>
      </c>
      <c r="AA43" s="169">
        <v>5.63</v>
      </c>
      <c r="AB43" s="169">
        <v>2.5899999999999999E-3</v>
      </c>
      <c r="AC43" s="169">
        <v>8.9499999999999996E-4</v>
      </c>
      <c r="AD43" s="169">
        <v>1.13E-4</v>
      </c>
      <c r="AE43" s="169">
        <v>5.66E-5</v>
      </c>
      <c r="AF43" s="169">
        <v>6.3100000000000003E-8</v>
      </c>
      <c r="AG43" s="162">
        <v>8.8599999999999998E-2</v>
      </c>
      <c r="AH43" s="162">
        <v>1.24</v>
      </c>
      <c r="AI43" s="162">
        <v>5.9999999999999995E-4</v>
      </c>
      <c r="AJ43" s="162">
        <v>3.4400000000000001E-4</v>
      </c>
      <c r="AK43" s="162">
        <v>3.1199999999999999E-5</v>
      </c>
      <c r="AL43" s="162">
        <v>1.3900000000000001E-5</v>
      </c>
      <c r="AM43" s="173">
        <v>2.9799999999999999E-8</v>
      </c>
    </row>
    <row r="44" spans="2:39" ht="80.25" customHeight="1" x14ac:dyDescent="0.25">
      <c r="B44" s="22">
        <f t="shared" si="0"/>
        <v>26</v>
      </c>
      <c r="C44" s="22" t="s">
        <v>340</v>
      </c>
      <c r="D44" s="28" t="s">
        <v>57</v>
      </c>
      <c r="E44" s="22" t="s">
        <v>358</v>
      </c>
      <c r="F44" s="32" t="s">
        <v>357</v>
      </c>
      <c r="G44" s="23" t="s">
        <v>359</v>
      </c>
      <c r="H44" s="8">
        <v>0.02</v>
      </c>
      <c r="I44" s="8" t="s">
        <v>14</v>
      </c>
      <c r="J44" s="15">
        <v>53.84</v>
      </c>
      <c r="K44" s="24" t="s">
        <v>314</v>
      </c>
      <c r="L44" s="24" t="s">
        <v>320</v>
      </c>
      <c r="M44" s="152">
        <v>515</v>
      </c>
      <c r="N44" s="152">
        <v>52.3</v>
      </c>
      <c r="O44" s="157"/>
      <c r="P44" s="157">
        <v>2.2570000000000001</v>
      </c>
      <c r="Q44" s="162"/>
      <c r="R44" s="162">
        <v>3.6999999999999998E-2</v>
      </c>
      <c r="S44" s="154">
        <v>-0.21</v>
      </c>
      <c r="T44" s="152">
        <v>3.1</v>
      </c>
      <c r="U44" s="152">
        <v>1.3999999999999999E-6</v>
      </c>
      <c r="V44" s="152">
        <v>1.1000000000000001E-3</v>
      </c>
      <c r="W44" s="152">
        <v>3.1000000000000001E-5</v>
      </c>
      <c r="X44" s="152">
        <v>1.2999999999999999E-3</v>
      </c>
      <c r="Y44" s="166">
        <v>3.2999999999999998E-8</v>
      </c>
      <c r="Z44" s="157">
        <v>0.16700000000000001</v>
      </c>
      <c r="AA44" s="157">
        <v>18.334</v>
      </c>
      <c r="AB44" s="169">
        <v>1E-4</v>
      </c>
      <c r="AC44" s="157">
        <v>1.2E-2</v>
      </c>
      <c r="AD44" s="157">
        <v>2E-3</v>
      </c>
      <c r="AE44" s="169">
        <v>6.1700000000000004E-4</v>
      </c>
      <c r="AF44" s="169">
        <v>2.1699999999999999E-4</v>
      </c>
      <c r="AG44" s="162">
        <v>5.0000000000000001E-3</v>
      </c>
      <c r="AH44" s="162">
        <v>7.3999999999999996E-2</v>
      </c>
      <c r="AI44" s="173">
        <v>1.9600000000000001E-7</v>
      </c>
      <c r="AJ44" s="173">
        <v>2.3300000000000001E-5</v>
      </c>
      <c r="AK44" s="173">
        <v>9.5400000000000001E-5</v>
      </c>
      <c r="AL44" s="173">
        <v>4.5000000000000001E-6</v>
      </c>
      <c r="AM44" s="173">
        <v>3.4999999999999998E-10</v>
      </c>
    </row>
    <row r="45" spans="2:39" ht="60" x14ac:dyDescent="0.25">
      <c r="B45" s="22">
        <f t="shared" si="0"/>
        <v>27</v>
      </c>
      <c r="C45" s="22" t="s">
        <v>363</v>
      </c>
      <c r="D45" s="28" t="s">
        <v>393</v>
      </c>
      <c r="E45" s="22" t="s">
        <v>366</v>
      </c>
      <c r="F45" s="23" t="s">
        <v>365</v>
      </c>
      <c r="G45" s="23" t="s">
        <v>536</v>
      </c>
      <c r="H45" s="8">
        <v>1</v>
      </c>
      <c r="I45" s="8" t="s">
        <v>15</v>
      </c>
      <c r="J45" s="134">
        <v>1.5</v>
      </c>
      <c r="K45" s="24" t="s">
        <v>314</v>
      </c>
      <c r="L45" s="24" t="s">
        <v>281</v>
      </c>
      <c r="M45" s="152">
        <v>0.78200000000000003</v>
      </c>
      <c r="N45" s="152">
        <v>3.51</v>
      </c>
      <c r="O45" s="157">
        <v>1.9699999999999999E-2</v>
      </c>
      <c r="P45" s="157">
        <v>0.29299999999999998</v>
      </c>
      <c r="Q45" s="162">
        <v>2.3700000000000001E-3</v>
      </c>
      <c r="R45" s="162">
        <v>1.23E-2</v>
      </c>
      <c r="S45" s="154">
        <v>0.374</v>
      </c>
      <c r="T45" s="152">
        <v>3.23</v>
      </c>
      <c r="U45" s="167">
        <v>8.6099999999999999E-7</v>
      </c>
      <c r="V45" s="152">
        <v>9.2000000000000003E-4</v>
      </c>
      <c r="W45" s="152">
        <v>9.4699999999999998E-5</v>
      </c>
      <c r="X45" s="152">
        <v>7.6699999999999994E-5</v>
      </c>
      <c r="Y45" s="166">
        <v>2.4899999999999999E-9</v>
      </c>
      <c r="Z45" s="169">
        <v>2.18E-2</v>
      </c>
      <c r="AA45" s="169">
        <v>0.29199999999999998</v>
      </c>
      <c r="AB45" s="169">
        <v>2.2600000000000001E-9</v>
      </c>
      <c r="AC45" s="169">
        <v>1.66E-5</v>
      </c>
      <c r="AD45" s="169">
        <v>3.7400000000000002E-6</v>
      </c>
      <c r="AE45" s="169">
        <v>-2.35E-7</v>
      </c>
      <c r="AF45" s="169">
        <v>4.5800000000000005E-16</v>
      </c>
      <c r="AG45" s="162">
        <v>4.1700000000000001E-2</v>
      </c>
      <c r="AH45" s="162">
        <v>1.11E-2</v>
      </c>
      <c r="AI45" s="173">
        <v>7.2999999999999996E-10</v>
      </c>
      <c r="AJ45" s="162">
        <v>5.4600000000000002E-6</v>
      </c>
      <c r="AK45" s="162">
        <v>1.2100000000000001E-6</v>
      </c>
      <c r="AL45" s="173">
        <v>3.65E-7</v>
      </c>
      <c r="AM45" s="173">
        <v>5.7100000000000001E-16</v>
      </c>
    </row>
    <row r="46" spans="2:39" ht="60" x14ac:dyDescent="0.25">
      <c r="B46" s="22">
        <f t="shared" si="0"/>
        <v>28</v>
      </c>
      <c r="C46" s="22" t="s">
        <v>363</v>
      </c>
      <c r="D46" s="28" t="s">
        <v>368</v>
      </c>
      <c r="E46" s="22" t="s">
        <v>373</v>
      </c>
      <c r="F46" s="23" t="s">
        <v>377</v>
      </c>
      <c r="G46" s="23" t="s">
        <v>376</v>
      </c>
      <c r="H46" s="8">
        <v>1</v>
      </c>
      <c r="I46" s="8" t="s">
        <v>332</v>
      </c>
      <c r="J46" s="15">
        <v>36.9</v>
      </c>
      <c r="K46" s="24" t="s">
        <v>314</v>
      </c>
      <c r="L46" s="24" t="s">
        <v>281</v>
      </c>
      <c r="M46" s="152">
        <v>2.3199999999999998</v>
      </c>
      <c r="N46" s="152">
        <v>82.843999999999994</v>
      </c>
      <c r="O46" s="169">
        <v>3.1500000000000001E-4</v>
      </c>
      <c r="P46" s="157">
        <v>3.2000000000000001E-2</v>
      </c>
      <c r="Q46" s="162">
        <v>0.94499999999999995</v>
      </c>
      <c r="R46" s="162">
        <v>3.15</v>
      </c>
      <c r="S46" s="154">
        <v>5.3086000000000002</v>
      </c>
      <c r="T46" s="152">
        <v>82.843999999999994</v>
      </c>
      <c r="U46" s="152">
        <v>4.351E-2</v>
      </c>
      <c r="V46" s="152">
        <v>1.908E-2</v>
      </c>
      <c r="W46" s="152">
        <v>9.58E-3</v>
      </c>
      <c r="X46" s="152">
        <v>8.7000000000000001E-4</v>
      </c>
      <c r="Y46" s="166">
        <v>6.68E-7</v>
      </c>
      <c r="Z46" s="169">
        <v>2E-3</v>
      </c>
      <c r="AA46" s="169">
        <v>3.2000000000000001E-2</v>
      </c>
      <c r="AB46" s="169">
        <v>5.2499999999999999E-9</v>
      </c>
      <c r="AC46" s="169">
        <v>5.2499999999999997E-6</v>
      </c>
      <c r="AD46" s="169">
        <v>1.0499999999999999E-6</v>
      </c>
      <c r="AE46" s="169">
        <v>3.15E-7</v>
      </c>
      <c r="AF46" s="169">
        <v>3.15E-10</v>
      </c>
      <c r="AG46" s="162">
        <v>0.21</v>
      </c>
      <c r="AH46" s="162">
        <v>9.7000000000000003E-2</v>
      </c>
      <c r="AI46" s="173">
        <v>3.15E-7</v>
      </c>
      <c r="AJ46" s="173">
        <v>7.3499999999999998E-4</v>
      </c>
      <c r="AK46" s="173">
        <v>3.1500000000000001E-4</v>
      </c>
      <c r="AL46" s="173">
        <v>4.1999999999999998E-5</v>
      </c>
      <c r="AM46" s="173">
        <v>3.1499999999999998E-8</v>
      </c>
    </row>
    <row r="47" spans="2:39" ht="60" x14ac:dyDescent="0.25">
      <c r="B47" s="22">
        <f t="shared" si="0"/>
        <v>29</v>
      </c>
      <c r="C47" s="22" t="s">
        <v>371</v>
      </c>
      <c r="D47" s="28" t="s">
        <v>367</v>
      </c>
      <c r="E47" s="22" t="s">
        <v>374</v>
      </c>
      <c r="F47" s="23" t="s">
        <v>369</v>
      </c>
      <c r="G47" s="23" t="s">
        <v>370</v>
      </c>
      <c r="H47" s="8">
        <v>1</v>
      </c>
      <c r="I47" s="8" t="s">
        <v>332</v>
      </c>
      <c r="J47" s="15">
        <v>36.9</v>
      </c>
      <c r="K47" s="24" t="s">
        <v>314</v>
      </c>
      <c r="L47" s="24" t="s">
        <v>372</v>
      </c>
      <c r="M47" s="152">
        <v>3.77</v>
      </c>
      <c r="N47" s="152">
        <v>44.2</v>
      </c>
      <c r="O47" s="157">
        <v>1.7000000000000001E-2</v>
      </c>
      <c r="P47" s="157">
        <v>6.49</v>
      </c>
      <c r="Q47" s="162">
        <v>0.56799999999999995</v>
      </c>
      <c r="R47" s="162">
        <v>3.01</v>
      </c>
      <c r="S47" s="154">
        <v>2.17</v>
      </c>
      <c r="T47" s="152">
        <v>38.4</v>
      </c>
      <c r="U47" s="167">
        <v>6.0299999999999999E-7</v>
      </c>
      <c r="V47" s="152">
        <v>4.45E-3</v>
      </c>
      <c r="W47" s="152">
        <v>3.1000000000000001E-5</v>
      </c>
      <c r="X47" s="152">
        <v>6.1900000000000002E-3</v>
      </c>
      <c r="Y47" s="166">
        <v>1.2800000000000001E-7</v>
      </c>
      <c r="Z47" s="169">
        <v>0.48899999999999999</v>
      </c>
      <c r="AA47" s="169">
        <v>6.45</v>
      </c>
      <c r="AB47" s="169">
        <v>1.6800000000000002E-8</v>
      </c>
      <c r="AC47" s="169">
        <v>1.3600000000000001E-3</v>
      </c>
      <c r="AD47" s="169">
        <v>3.8299999999999998E-7</v>
      </c>
      <c r="AE47" s="169">
        <v>2.1099999999999999E-3</v>
      </c>
      <c r="AF47" s="169">
        <v>1.05E-8</v>
      </c>
      <c r="AG47" s="162">
        <v>0.24099999999999999</v>
      </c>
      <c r="AH47" s="162">
        <v>2.67</v>
      </c>
      <c r="AI47" s="173">
        <v>2.4900000000000001E-8</v>
      </c>
      <c r="AJ47" s="162">
        <v>6.2E-4</v>
      </c>
      <c r="AK47" s="162">
        <v>2.8499999999999998E-6</v>
      </c>
      <c r="AL47" s="162">
        <v>8.9700000000000001E-4</v>
      </c>
      <c r="AM47" s="173">
        <v>6.6299999999999996E-9</v>
      </c>
    </row>
    <row r="48" spans="2:39" ht="60.75" customHeight="1" x14ac:dyDescent="0.25">
      <c r="B48" s="22">
        <f t="shared" si="0"/>
        <v>30</v>
      </c>
      <c r="C48" s="22" t="s">
        <v>363</v>
      </c>
      <c r="D48" s="28" t="s">
        <v>100</v>
      </c>
      <c r="E48" s="22" t="s">
        <v>382</v>
      </c>
      <c r="F48" s="23" t="s">
        <v>378</v>
      </c>
      <c r="G48" s="23" t="s">
        <v>379</v>
      </c>
      <c r="H48" s="8">
        <v>1000</v>
      </c>
      <c r="I48" s="8" t="s">
        <v>15</v>
      </c>
      <c r="J48" s="15">
        <v>2820</v>
      </c>
      <c r="K48" s="24" t="s">
        <v>314</v>
      </c>
      <c r="L48" s="24" t="s">
        <v>356</v>
      </c>
      <c r="M48" s="152">
        <v>1962.2</v>
      </c>
      <c r="N48" s="152">
        <v>31338.2</v>
      </c>
      <c r="O48" s="157">
        <v>3.18</v>
      </c>
      <c r="P48" s="157">
        <v>317</v>
      </c>
      <c r="Q48" s="162">
        <v>1.61E-2</v>
      </c>
      <c r="R48" s="162">
        <v>1.37</v>
      </c>
      <c r="S48" s="154">
        <v>2720.4580000000001</v>
      </c>
      <c r="T48" s="152">
        <v>38214.9</v>
      </c>
      <c r="U48" s="152">
        <v>0.627</v>
      </c>
      <c r="V48" s="152">
        <v>15.173299999999999</v>
      </c>
      <c r="W48" s="152">
        <v>2.02684</v>
      </c>
      <c r="X48" s="152">
        <v>3.4297</v>
      </c>
      <c r="Y48" s="164">
        <v>1.7342400000000001E-4</v>
      </c>
      <c r="Z48" s="157">
        <v>19.399999999999999</v>
      </c>
      <c r="AA48" s="157">
        <v>296</v>
      </c>
      <c r="AB48" s="157">
        <v>5.9200000000000002E-5</v>
      </c>
      <c r="AC48" s="157">
        <v>4.62E-3</v>
      </c>
      <c r="AD48" s="157">
        <v>7.4200000000000004E-3</v>
      </c>
      <c r="AE48" s="157">
        <v>9.5200000000000007E-3</v>
      </c>
      <c r="AF48" s="157">
        <v>3.58E-6</v>
      </c>
      <c r="AG48" s="162">
        <v>8.48E-2</v>
      </c>
      <c r="AH48" s="162">
        <v>1.28</v>
      </c>
      <c r="AI48" s="173">
        <v>2.4900000000000002E-7</v>
      </c>
      <c r="AJ48" s="162">
        <v>2.2100000000000001E-4</v>
      </c>
      <c r="AK48" s="162">
        <v>3.5899999999999998E-5</v>
      </c>
      <c r="AL48" s="162">
        <v>4.3000000000000002E-5</v>
      </c>
      <c r="AM48" s="173">
        <v>1.5799999999999999E-8</v>
      </c>
    </row>
    <row r="49" spans="2:39" ht="60.75" customHeight="1" x14ac:dyDescent="0.25">
      <c r="B49" s="22">
        <f t="shared" si="0"/>
        <v>31</v>
      </c>
      <c r="C49" s="22" t="s">
        <v>68</v>
      </c>
      <c r="D49" s="22" t="s">
        <v>68</v>
      </c>
      <c r="E49" s="22" t="s">
        <v>386</v>
      </c>
      <c r="F49" s="23" t="s">
        <v>385</v>
      </c>
      <c r="G49" s="23" t="s">
        <v>387</v>
      </c>
      <c r="H49" s="8">
        <v>1</v>
      </c>
      <c r="I49" s="8" t="s">
        <v>15</v>
      </c>
      <c r="J49" s="15">
        <v>14.47</v>
      </c>
      <c r="K49" s="24" t="s">
        <v>314</v>
      </c>
      <c r="L49" s="24" t="s">
        <v>388</v>
      </c>
      <c r="M49" s="152">
        <v>9.84</v>
      </c>
      <c r="N49" s="152">
        <v>64.5</v>
      </c>
      <c r="O49" s="169">
        <v>1.5099999999999999E-5</v>
      </c>
      <c r="P49" s="157">
        <v>0.125</v>
      </c>
      <c r="Q49" s="162">
        <v>1.89</v>
      </c>
      <c r="R49" s="162">
        <v>7.6079999999999997</v>
      </c>
      <c r="S49" s="154">
        <v>4.72</v>
      </c>
      <c r="T49" s="152">
        <v>63.5</v>
      </c>
      <c r="U49" s="152">
        <v>6.1700000000000004E-4</v>
      </c>
      <c r="V49" s="152">
        <v>6.1499999999999999E-2</v>
      </c>
      <c r="W49" s="152">
        <v>3.0899999999999999E-3</v>
      </c>
      <c r="X49" s="152">
        <v>2.9000000000000001E-2</v>
      </c>
      <c r="Y49" s="166">
        <v>2.5699999999999999E-7</v>
      </c>
      <c r="Z49" s="157">
        <v>0.36199999999999999</v>
      </c>
      <c r="AA49" s="157">
        <v>39.813000000000002</v>
      </c>
      <c r="AB49" s="169">
        <v>2.1699999999999999E-4</v>
      </c>
      <c r="AC49" s="157">
        <v>2.5000000000000001E-2</v>
      </c>
      <c r="AD49" s="157">
        <v>5.0000000000000001E-3</v>
      </c>
      <c r="AE49" s="157">
        <v>1E-3</v>
      </c>
      <c r="AF49" s="169">
        <v>4.7100000000000001E-4</v>
      </c>
      <c r="AG49" s="162">
        <v>1.9E-2</v>
      </c>
      <c r="AH49" s="162">
        <v>0.26600000000000001</v>
      </c>
      <c r="AI49" s="173">
        <v>7.0200000000000001E-7</v>
      </c>
      <c r="AJ49" s="173">
        <v>8.3499999999999997E-5</v>
      </c>
      <c r="AK49" s="173">
        <v>3.4099999999999999E-4</v>
      </c>
      <c r="AL49" s="173">
        <v>1.6099999999999998E-5</v>
      </c>
      <c r="AM49" s="173">
        <v>1.25E-9</v>
      </c>
    </row>
    <row r="50" spans="2:39" ht="93.75" customHeight="1" x14ac:dyDescent="0.25">
      <c r="B50" s="22">
        <f t="shared" si="0"/>
        <v>32</v>
      </c>
      <c r="C50" s="22" t="s">
        <v>391</v>
      </c>
      <c r="D50" s="22" t="s">
        <v>391</v>
      </c>
      <c r="E50" s="22" t="s">
        <v>544</v>
      </c>
      <c r="F50" s="23" t="s">
        <v>390</v>
      </c>
      <c r="G50" s="23" t="s">
        <v>389</v>
      </c>
      <c r="H50" s="8">
        <f>2.6814</f>
        <v>2.6814</v>
      </c>
      <c r="I50" s="8" t="s">
        <v>332</v>
      </c>
      <c r="J50" s="15">
        <v>394.28</v>
      </c>
      <c r="K50" s="24" t="s">
        <v>314</v>
      </c>
      <c r="L50" s="24" t="s">
        <v>281</v>
      </c>
      <c r="M50" s="152">
        <v>1835.8330000000001</v>
      </c>
      <c r="N50" s="152">
        <v>1394.01</v>
      </c>
      <c r="O50" s="157"/>
      <c r="P50" s="157"/>
      <c r="Q50" s="162">
        <v>43.82</v>
      </c>
      <c r="R50" s="162">
        <v>15.52</v>
      </c>
      <c r="S50" s="154">
        <v>-18.95</v>
      </c>
      <c r="T50" s="152">
        <v>1250.45</v>
      </c>
      <c r="U50" s="152">
        <v>2.6689999999999999E-3</v>
      </c>
      <c r="V50" s="152">
        <v>0.18087</v>
      </c>
      <c r="W50" s="152">
        <v>3.7775000000000003E-2</v>
      </c>
      <c r="X50" s="152">
        <v>3.5685000000000001E-2</v>
      </c>
      <c r="Y50" s="166">
        <v>9.8510000000000004E-11</v>
      </c>
      <c r="Z50" s="169">
        <v>0.57099999999999995</v>
      </c>
      <c r="AA50" s="169">
        <v>62.838999999999999</v>
      </c>
      <c r="AB50" s="169">
        <v>3.4299999999999999E-4</v>
      </c>
      <c r="AC50" s="169">
        <v>0.04</v>
      </c>
      <c r="AD50" s="169">
        <v>8.0000000000000002E-3</v>
      </c>
      <c r="AE50" s="169">
        <v>2E-3</v>
      </c>
      <c r="AF50" s="169">
        <v>7.4299999999999995E-4</v>
      </c>
      <c r="AG50" s="162">
        <v>10.64</v>
      </c>
      <c r="AH50" s="162">
        <v>3.2160000000000002</v>
      </c>
      <c r="AI50" s="173">
        <v>3.7220000000000001E-7</v>
      </c>
      <c r="AJ50" s="162">
        <v>3.49E-3</v>
      </c>
      <c r="AK50" s="162">
        <v>7.9140000000000005E-4</v>
      </c>
      <c r="AL50" s="162">
        <v>2.042E-4</v>
      </c>
      <c r="AM50" s="173">
        <v>4.0050000000000002E-15</v>
      </c>
    </row>
    <row r="51" spans="2:39" ht="93.75" customHeight="1" x14ac:dyDescent="0.25">
      <c r="B51" s="22">
        <f t="shared" si="0"/>
        <v>33</v>
      </c>
      <c r="C51" s="22" t="s">
        <v>397</v>
      </c>
      <c r="D51" s="22" t="s">
        <v>104</v>
      </c>
      <c r="E51" s="22" t="s">
        <v>394</v>
      </c>
      <c r="F51" s="23" t="s">
        <v>395</v>
      </c>
      <c r="G51" s="23" t="s">
        <v>396</v>
      </c>
      <c r="H51" s="8">
        <v>50.75</v>
      </c>
      <c r="I51" s="8" t="s">
        <v>332</v>
      </c>
      <c r="J51" s="15">
        <v>2869.79</v>
      </c>
      <c r="K51" s="24" t="s">
        <v>314</v>
      </c>
      <c r="L51" s="24" t="s">
        <v>398</v>
      </c>
      <c r="M51" s="152">
        <v>4820</v>
      </c>
      <c r="N51" s="152">
        <v>30300</v>
      </c>
      <c r="O51" s="157">
        <v>20.9</v>
      </c>
      <c r="P51" s="157">
        <v>2400</v>
      </c>
      <c r="Q51" s="162">
        <v>23.9</v>
      </c>
      <c r="R51" s="162">
        <v>254</v>
      </c>
      <c r="S51" s="154">
        <v>1570</v>
      </c>
      <c r="T51" s="152">
        <v>28400</v>
      </c>
      <c r="U51" s="152">
        <v>7.5399999999999998E-3</v>
      </c>
      <c r="V51" s="152">
        <v>7.87</v>
      </c>
      <c r="W51" s="152">
        <v>2.0099999999999998</v>
      </c>
      <c r="X51" s="152">
        <v>0.80700000000000005</v>
      </c>
      <c r="Y51" s="164">
        <v>1.12E-4</v>
      </c>
      <c r="Z51" s="157">
        <v>168</v>
      </c>
      <c r="AA51" s="157">
        <v>2260</v>
      </c>
      <c r="AB51" s="157">
        <v>4.1100000000000002E-4</v>
      </c>
      <c r="AC51" s="157">
        <v>3.88</v>
      </c>
      <c r="AD51" s="157">
        <v>8.3999999999999995E-3</v>
      </c>
      <c r="AE51" s="157">
        <v>0.17199999999999999</v>
      </c>
      <c r="AF51" s="157">
        <v>3.4499999999999998E-5</v>
      </c>
      <c r="AG51" s="162">
        <v>18.5</v>
      </c>
      <c r="AH51" s="162">
        <v>236</v>
      </c>
      <c r="AI51" s="162">
        <v>7.9300000000000003E-5</v>
      </c>
      <c r="AJ51" s="162">
        <v>6.0900000000000003E-2</v>
      </c>
      <c r="AK51" s="162">
        <v>7.6899999999999998E-3</v>
      </c>
      <c r="AL51" s="162">
        <v>3.7399999999999998E-3</v>
      </c>
      <c r="AM51" s="162">
        <v>2.6199999999999999E-6</v>
      </c>
    </row>
    <row r="52" spans="2:39" ht="49.5" customHeight="1" x14ac:dyDescent="0.25">
      <c r="B52" s="22">
        <f t="shared" si="0"/>
        <v>34</v>
      </c>
      <c r="C52" s="22" t="s">
        <v>397</v>
      </c>
      <c r="D52" s="22" t="s">
        <v>106</v>
      </c>
      <c r="E52" s="22" t="s">
        <v>409</v>
      </c>
      <c r="F52" s="23" t="s">
        <v>399</v>
      </c>
      <c r="G52" s="23" t="s">
        <v>401</v>
      </c>
      <c r="H52" s="8">
        <v>1</v>
      </c>
      <c r="I52" s="8" t="s">
        <v>15</v>
      </c>
      <c r="J52" s="134">
        <v>2.5</v>
      </c>
      <c r="K52" s="24" t="s">
        <v>314</v>
      </c>
      <c r="L52" s="24" t="s">
        <v>400</v>
      </c>
      <c r="M52" s="152">
        <v>218</v>
      </c>
      <c r="N52" s="152">
        <v>991</v>
      </c>
      <c r="O52" s="157"/>
      <c r="P52" s="157">
        <v>10.523</v>
      </c>
      <c r="Q52" s="162"/>
      <c r="R52" s="162">
        <v>0.20200000000000001</v>
      </c>
      <c r="S52" s="154">
        <v>64.099999999999994</v>
      </c>
      <c r="T52" s="152">
        <v>858</v>
      </c>
      <c r="U52" s="152">
        <v>2.32E-4</v>
      </c>
      <c r="V52" s="152">
        <v>0.45900000000000002</v>
      </c>
      <c r="W52" s="152">
        <v>9.6199999999999994E-2</v>
      </c>
      <c r="X52" s="152">
        <v>2.41E-2</v>
      </c>
      <c r="Y52" s="164">
        <v>3.7400000000000002E-6</v>
      </c>
      <c r="Z52" s="157">
        <v>0.77900000000000003</v>
      </c>
      <c r="AA52" s="157">
        <v>85.653999999999996</v>
      </c>
      <c r="AB52" s="169">
        <v>4.6700000000000002E-4</v>
      </c>
      <c r="AC52" s="157">
        <v>5.5E-2</v>
      </c>
      <c r="AD52" s="157">
        <v>1.0999999999999999E-2</v>
      </c>
      <c r="AE52" s="157">
        <v>3.0000000000000001E-3</v>
      </c>
      <c r="AF52" s="157">
        <v>1E-3</v>
      </c>
      <c r="AG52" s="162">
        <v>2.9000000000000001E-2</v>
      </c>
      <c r="AH52" s="162">
        <v>0.41</v>
      </c>
      <c r="AI52" s="173">
        <v>1.08E-6</v>
      </c>
      <c r="AJ52" s="173">
        <v>1.2899999999999999E-4</v>
      </c>
      <c r="AK52" s="173">
        <v>5.2700000000000002E-4</v>
      </c>
      <c r="AL52" s="173">
        <v>2.4899999999999999E-5</v>
      </c>
      <c r="AM52" s="173">
        <v>1.9300000000000002E-9</v>
      </c>
    </row>
    <row r="53" spans="2:39" ht="38.25" customHeight="1" x14ac:dyDescent="0.25">
      <c r="B53" s="22">
        <f t="shared" si="0"/>
        <v>35</v>
      </c>
      <c r="C53" s="22" t="s">
        <v>397</v>
      </c>
      <c r="D53" s="22" t="s">
        <v>106</v>
      </c>
      <c r="E53" s="22" t="s">
        <v>404</v>
      </c>
      <c r="F53" s="23" t="s">
        <v>402</v>
      </c>
      <c r="G53" s="23" t="s">
        <v>403</v>
      </c>
      <c r="H53" s="8">
        <v>324</v>
      </c>
      <c r="I53" s="8" t="s">
        <v>15</v>
      </c>
      <c r="J53" s="134">
        <v>560</v>
      </c>
      <c r="K53" s="24" t="s">
        <v>314</v>
      </c>
      <c r="L53" s="24" t="s">
        <v>320</v>
      </c>
      <c r="M53" s="152">
        <v>137.4</v>
      </c>
      <c r="N53" s="152">
        <v>436.5</v>
      </c>
      <c r="O53" s="157">
        <v>0.67</v>
      </c>
      <c r="P53" s="157">
        <v>12.4</v>
      </c>
      <c r="Q53" s="162">
        <v>62.6</v>
      </c>
      <c r="R53" s="162">
        <v>149.5</v>
      </c>
      <c r="S53" s="154">
        <v>23.4</v>
      </c>
      <c r="T53" s="152">
        <v>435</v>
      </c>
      <c r="U53" s="152">
        <v>6.0000000000000002E-5</v>
      </c>
      <c r="V53" s="152">
        <v>0.1</v>
      </c>
      <c r="W53" s="152">
        <v>1.6000000000000001E-4</v>
      </c>
      <c r="X53" s="152">
        <v>3.6999999999999998E-2</v>
      </c>
      <c r="Y53" s="166">
        <v>5.9999999999999995E-8</v>
      </c>
      <c r="Z53" s="169">
        <v>0.94</v>
      </c>
      <c r="AA53" s="169">
        <v>12.4</v>
      </c>
      <c r="AB53" s="169">
        <v>7.6000000000000006E-8</v>
      </c>
      <c r="AC53" s="169">
        <v>2.5999999999999999E-3</v>
      </c>
      <c r="AD53" s="169">
        <v>2.6000000000000001E-6</v>
      </c>
      <c r="AE53" s="169">
        <v>2.0999999999999999E-3</v>
      </c>
      <c r="AF53" s="169">
        <v>5.6000000000000001E-14</v>
      </c>
      <c r="AG53" s="162">
        <v>11.6</v>
      </c>
      <c r="AH53" s="162">
        <v>149.4</v>
      </c>
      <c r="AI53" s="162">
        <v>4.1E-5</v>
      </c>
      <c r="AJ53" s="162">
        <v>5.6000000000000001E-2</v>
      </c>
      <c r="AK53" s="162">
        <v>1.2E-5</v>
      </c>
      <c r="AL53" s="162">
        <v>2.1999999999999999E-2</v>
      </c>
      <c r="AM53" s="173">
        <v>1.8E-9</v>
      </c>
    </row>
    <row r="54" spans="2:39" ht="63" customHeight="1" x14ac:dyDescent="0.25">
      <c r="B54" s="22">
        <f t="shared" si="0"/>
        <v>36</v>
      </c>
      <c r="C54" s="22" t="s">
        <v>397</v>
      </c>
      <c r="D54" s="22" t="s">
        <v>106</v>
      </c>
      <c r="E54" s="22" t="s">
        <v>410</v>
      </c>
      <c r="F54" s="23" t="s">
        <v>406</v>
      </c>
      <c r="G54" s="23" t="s">
        <v>405</v>
      </c>
      <c r="H54" s="8">
        <v>1</v>
      </c>
      <c r="I54" s="8" t="s">
        <v>15</v>
      </c>
      <c r="J54" s="134">
        <v>2.25</v>
      </c>
      <c r="K54" s="24" t="s">
        <v>314</v>
      </c>
      <c r="L54" s="24" t="s">
        <v>407</v>
      </c>
      <c r="M54" s="152">
        <v>1.8</v>
      </c>
      <c r="N54" s="152">
        <v>15.5</v>
      </c>
      <c r="O54" s="157"/>
      <c r="P54" s="157">
        <v>4.4859999999999998</v>
      </c>
      <c r="Q54" s="162"/>
      <c r="R54" s="162">
        <v>0.36199999999999999</v>
      </c>
      <c r="S54" s="154">
        <v>0.93200000000000005</v>
      </c>
      <c r="T54" s="152">
        <v>15.5</v>
      </c>
      <c r="U54" s="152">
        <v>9.6399999999999992E-6</v>
      </c>
      <c r="V54" s="152">
        <v>5.6100000000000004E-3</v>
      </c>
      <c r="W54" s="152">
        <v>2.3800000000000001E-4</v>
      </c>
      <c r="X54" s="152">
        <v>4.0200000000000001E-3</v>
      </c>
      <c r="Y54" s="166">
        <v>1.08E-7</v>
      </c>
      <c r="Z54" s="169">
        <v>0.33200000000000002</v>
      </c>
      <c r="AA54" s="169">
        <v>36.512999999999998</v>
      </c>
      <c r="AB54" s="169">
        <v>1.9900000000000001E-4</v>
      </c>
      <c r="AC54" s="169">
        <v>2.3E-2</v>
      </c>
      <c r="AD54" s="169">
        <v>5.0000000000000001E-3</v>
      </c>
      <c r="AE54" s="169">
        <v>1E-3</v>
      </c>
      <c r="AF54" s="169">
        <v>4.3199999999999998E-4</v>
      </c>
      <c r="AG54" s="162">
        <v>5.2999999999999999E-2</v>
      </c>
      <c r="AH54" s="162">
        <v>0.73599999999999999</v>
      </c>
      <c r="AI54" s="173">
        <v>1.9400000000000001E-6</v>
      </c>
      <c r="AJ54" s="173">
        <v>2.31E-4</v>
      </c>
      <c r="AK54" s="173">
        <v>9.4600000000000001E-4</v>
      </c>
      <c r="AL54" s="173">
        <v>4.4700000000000002E-5</v>
      </c>
      <c r="AM54" s="173">
        <v>3.4699999999999998E-9</v>
      </c>
    </row>
    <row r="55" spans="2:39" ht="75" customHeight="1" x14ac:dyDescent="0.25">
      <c r="B55" s="22">
        <f t="shared" si="0"/>
        <v>37</v>
      </c>
      <c r="C55" s="22" t="s">
        <v>54</v>
      </c>
      <c r="D55" s="22" t="s">
        <v>54</v>
      </c>
      <c r="E55" s="22" t="s">
        <v>413</v>
      </c>
      <c r="F55" s="23" t="s">
        <v>412</v>
      </c>
      <c r="G55" s="23" t="s">
        <v>414</v>
      </c>
      <c r="H55" s="8">
        <v>1</v>
      </c>
      <c r="I55" s="8" t="s">
        <v>332</v>
      </c>
      <c r="J55" s="15">
        <v>146.96</v>
      </c>
      <c r="K55" s="24" t="s">
        <v>314</v>
      </c>
      <c r="L55" s="24" t="s">
        <v>415</v>
      </c>
      <c r="M55" s="152">
        <v>46.966000000000001</v>
      </c>
      <c r="N55" s="152">
        <v>1204.7550000000001</v>
      </c>
      <c r="O55" s="157">
        <v>7.9100000000000004E-3</v>
      </c>
      <c r="P55" s="157">
        <v>0.57099999999999995</v>
      </c>
      <c r="Q55" s="162">
        <v>9.5600000000000004E-2</v>
      </c>
      <c r="R55" s="162">
        <v>2.08</v>
      </c>
      <c r="S55" s="154">
        <v>596.45000000000005</v>
      </c>
      <c r="T55" s="152">
        <v>1060.011</v>
      </c>
      <c r="U55" s="152">
        <v>0.46810000000000002</v>
      </c>
      <c r="V55" s="152">
        <v>0.21839900000000001</v>
      </c>
      <c r="W55" s="152">
        <v>2.6445E-2</v>
      </c>
      <c r="X55" s="152">
        <v>1.61916E-2</v>
      </c>
      <c r="Y55" s="166">
        <v>9.8377000000000003E-7</v>
      </c>
      <c r="Z55" s="169">
        <v>362</v>
      </c>
      <c r="AA55" s="169">
        <v>0.56000000000000005</v>
      </c>
      <c r="AB55" s="169">
        <v>2.5900000000000001E-4</v>
      </c>
      <c r="AC55" s="169">
        <v>1.45E-4</v>
      </c>
      <c r="AD55" s="169">
        <v>2.3099999999999999E-5</v>
      </c>
      <c r="AE55" s="169">
        <v>6.5899999999999996E-6</v>
      </c>
      <c r="AF55" s="169">
        <v>6.2600000000000003E-9</v>
      </c>
      <c r="AG55" s="162">
        <v>487</v>
      </c>
      <c r="AH55" s="162">
        <v>2.0299999999999998</v>
      </c>
      <c r="AI55" s="173">
        <v>2.6299999999999998E-9</v>
      </c>
      <c r="AJ55" s="162">
        <v>2.6499999999999999E-4</v>
      </c>
      <c r="AK55" s="162">
        <v>2.8E-5</v>
      </c>
      <c r="AL55" s="162">
        <v>1.7399999999999999E-5</v>
      </c>
      <c r="AM55" s="173">
        <v>1.7900000000000001E-8</v>
      </c>
    </row>
    <row r="56" spans="2:39" ht="50.25" customHeight="1" x14ac:dyDescent="0.25">
      <c r="B56" s="22">
        <f t="shared" si="0"/>
        <v>38</v>
      </c>
      <c r="C56" s="22" t="s">
        <v>54</v>
      </c>
      <c r="D56" s="22" t="s">
        <v>54</v>
      </c>
      <c r="E56" s="22" t="s">
        <v>416</v>
      </c>
      <c r="F56" s="23" t="s">
        <v>419</v>
      </c>
      <c r="G56" s="23" t="s">
        <v>418</v>
      </c>
      <c r="H56" s="8">
        <v>1</v>
      </c>
      <c r="I56" s="8" t="s">
        <v>332</v>
      </c>
      <c r="J56" s="15">
        <v>299.17</v>
      </c>
      <c r="K56" s="24" t="s">
        <v>314</v>
      </c>
      <c r="L56" s="24" t="s">
        <v>356</v>
      </c>
      <c r="M56" s="152">
        <v>1679.441</v>
      </c>
      <c r="N56" s="152">
        <v>1131.2</v>
      </c>
      <c r="O56" s="157">
        <v>0.318</v>
      </c>
      <c r="P56" s="157">
        <v>28.8</v>
      </c>
      <c r="Q56" s="162">
        <v>0.253</v>
      </c>
      <c r="R56" s="162">
        <v>7.38</v>
      </c>
      <c r="S56" s="154">
        <v>79.489999999999995</v>
      </c>
      <c r="T56" s="152">
        <v>1128.7</v>
      </c>
      <c r="U56" s="152">
        <v>0.34104000000000001</v>
      </c>
      <c r="V56" s="152">
        <v>0.33739999999999998</v>
      </c>
      <c r="W56" s="152">
        <v>4.0890000000000003E-2</v>
      </c>
      <c r="X56" s="152">
        <v>3.9460000000000002E-2</v>
      </c>
      <c r="Y56" s="166">
        <v>1.705E-6</v>
      </c>
      <c r="Z56" s="169">
        <v>1.79</v>
      </c>
      <c r="AA56" s="169">
        <v>27</v>
      </c>
      <c r="AB56" s="169">
        <v>7.1500000000000002E-6</v>
      </c>
      <c r="AC56" s="169">
        <v>4.28E-3</v>
      </c>
      <c r="AD56" s="169">
        <v>6.7900000000000002E-4</v>
      </c>
      <c r="AE56" s="169">
        <v>8.4800000000000001E-4</v>
      </c>
      <c r="AF56" s="169">
        <v>3.2099999999999998E-7</v>
      </c>
      <c r="AG56" s="162">
        <v>0.16</v>
      </c>
      <c r="AH56" s="162">
        <v>7.04</v>
      </c>
      <c r="AI56" s="173">
        <v>8.9400000000000004E-7</v>
      </c>
      <c r="AJ56" s="162">
        <v>9.4700000000000003E-4</v>
      </c>
      <c r="AK56" s="162">
        <v>1.21E-4</v>
      </c>
      <c r="AL56" s="162">
        <v>1.3300000000000001E-4</v>
      </c>
      <c r="AM56" s="173">
        <v>6.73E-8</v>
      </c>
    </row>
    <row r="57" spans="2:39" ht="75" customHeight="1" x14ac:dyDescent="0.25">
      <c r="B57" s="22">
        <f t="shared" si="0"/>
        <v>39</v>
      </c>
      <c r="C57" s="22" t="s">
        <v>54</v>
      </c>
      <c r="D57" s="22" t="s">
        <v>54</v>
      </c>
      <c r="E57" s="22" t="s">
        <v>417</v>
      </c>
      <c r="F57" s="23" t="s">
        <v>421</v>
      </c>
      <c r="G57" s="23" t="s">
        <v>420</v>
      </c>
      <c r="H57" s="8">
        <v>1</v>
      </c>
      <c r="I57" s="8" t="s">
        <v>332</v>
      </c>
      <c r="J57" s="15">
        <v>127.72</v>
      </c>
      <c r="K57" s="24" t="s">
        <v>314</v>
      </c>
      <c r="L57" s="24" t="s">
        <v>422</v>
      </c>
      <c r="M57" s="152">
        <v>398</v>
      </c>
      <c r="N57" s="152">
        <v>1908</v>
      </c>
      <c r="O57" s="157"/>
      <c r="P57" s="157"/>
      <c r="Q57" s="162"/>
      <c r="R57" s="162"/>
      <c r="S57" s="154">
        <v>146</v>
      </c>
      <c r="T57" s="152">
        <v>1872</v>
      </c>
      <c r="U57" s="152">
        <v>3.3600000000000001E-3</v>
      </c>
      <c r="V57" s="152">
        <v>0.96499999999999997</v>
      </c>
      <c r="W57" s="152">
        <v>0.11600000000000001</v>
      </c>
      <c r="X57" s="152">
        <v>0.44400000000000001</v>
      </c>
      <c r="Y57" s="164">
        <v>7.2799999999999998E-6</v>
      </c>
      <c r="Z57" s="157">
        <v>1.19</v>
      </c>
      <c r="AA57" s="157">
        <v>16.75</v>
      </c>
      <c r="AB57" s="169">
        <v>7.0000000000000005E-8</v>
      </c>
      <c r="AC57" s="169">
        <v>4.0900000000000002E-8</v>
      </c>
      <c r="AD57" s="169">
        <v>5.4000000000000001E-4</v>
      </c>
      <c r="AE57" s="169">
        <v>3.9399999999999999E-3</v>
      </c>
      <c r="AF57" s="169">
        <v>2.7500000000000001E-7</v>
      </c>
      <c r="AG57" s="162">
        <v>1.25</v>
      </c>
      <c r="AH57" s="162">
        <v>16.34</v>
      </c>
      <c r="AI57" s="173">
        <v>1.38E-5</v>
      </c>
      <c r="AJ57" s="173">
        <v>6.5300000000000002E-3</v>
      </c>
      <c r="AK57" s="173">
        <v>7.3300000000000004E-4</v>
      </c>
      <c r="AL57" s="173">
        <v>4.0299999999999997E-3</v>
      </c>
      <c r="AM57" s="173">
        <v>2.5300000000000002E-8</v>
      </c>
    </row>
    <row r="58" spans="2:39" ht="48.75" customHeight="1" x14ac:dyDescent="0.25">
      <c r="B58" s="22">
        <f t="shared" si="0"/>
        <v>40</v>
      </c>
      <c r="C58" s="22" t="s">
        <v>397</v>
      </c>
      <c r="D58" s="22" t="s">
        <v>430</v>
      </c>
      <c r="E58" s="22" t="s">
        <v>429</v>
      </c>
      <c r="F58" s="23" t="s">
        <v>428</v>
      </c>
      <c r="G58" s="23" t="s">
        <v>431</v>
      </c>
      <c r="H58" s="8">
        <v>1</v>
      </c>
      <c r="I58" s="8" t="s">
        <v>332</v>
      </c>
      <c r="J58" s="15">
        <v>150.13999999999999</v>
      </c>
      <c r="K58" s="24" t="s">
        <v>314</v>
      </c>
      <c r="L58" s="24" t="s">
        <v>432</v>
      </c>
      <c r="M58" s="152">
        <v>1400</v>
      </c>
      <c r="N58" s="152">
        <v>1020</v>
      </c>
      <c r="O58" s="157">
        <v>0.307</v>
      </c>
      <c r="P58" s="157">
        <v>5.52</v>
      </c>
      <c r="Q58" s="162">
        <v>1.01</v>
      </c>
      <c r="R58" s="162">
        <v>3.39</v>
      </c>
      <c r="S58" s="154">
        <v>43</v>
      </c>
      <c r="T58" s="152"/>
      <c r="U58" s="152"/>
      <c r="V58" s="152">
        <v>0.34300000000000003</v>
      </c>
      <c r="W58" s="152">
        <v>1.41E-3</v>
      </c>
      <c r="X58" s="152">
        <v>0.222</v>
      </c>
      <c r="Y58" s="164">
        <v>1.3200000000000001E-6</v>
      </c>
      <c r="Z58" s="157">
        <v>0.41699999999999998</v>
      </c>
      <c r="AA58" s="157"/>
      <c r="AB58" s="157"/>
      <c r="AC58" s="157">
        <v>1.33E-3</v>
      </c>
      <c r="AD58" s="157">
        <v>1.2300000000000001E-6</v>
      </c>
      <c r="AE58" s="157">
        <v>1.1999999999999999E-3</v>
      </c>
      <c r="AF58" s="169">
        <v>5.29E-17</v>
      </c>
      <c r="AG58" s="162">
        <v>15.7</v>
      </c>
      <c r="AH58" s="162"/>
      <c r="AI58" s="162"/>
      <c r="AJ58" s="162">
        <v>6.3299999999999997E-3</v>
      </c>
      <c r="AK58" s="173">
        <v>3.9200000000000002E-7</v>
      </c>
      <c r="AL58" s="162">
        <v>7.1900000000000002E-3</v>
      </c>
      <c r="AM58" s="173">
        <v>1.8099999999999998E-15</v>
      </c>
    </row>
    <row r="59" spans="2:39" ht="78" customHeight="1" x14ac:dyDescent="0.25">
      <c r="B59" s="22">
        <f t="shared" si="0"/>
        <v>41</v>
      </c>
      <c r="C59" s="22" t="s">
        <v>397</v>
      </c>
      <c r="D59" s="22" t="s">
        <v>426</v>
      </c>
      <c r="E59" s="22" t="s">
        <v>425</v>
      </c>
      <c r="F59" s="23" t="s">
        <v>423</v>
      </c>
      <c r="G59" s="23" t="s">
        <v>424</v>
      </c>
      <c r="H59" s="8">
        <v>2.3069999999999999</v>
      </c>
      <c r="I59" s="8" t="s">
        <v>332</v>
      </c>
      <c r="J59" s="15">
        <v>632.54</v>
      </c>
      <c r="K59" s="24" t="s">
        <v>314</v>
      </c>
      <c r="L59" s="24" t="s">
        <v>427</v>
      </c>
      <c r="M59" s="152">
        <v>975.40260000000001</v>
      </c>
      <c r="N59" s="152">
        <v>1017.1</v>
      </c>
      <c r="O59" s="157"/>
      <c r="P59" s="157"/>
      <c r="Q59" s="162">
        <v>43.82</v>
      </c>
      <c r="R59" s="162">
        <v>15.52</v>
      </c>
      <c r="S59" s="154">
        <v>5.24</v>
      </c>
      <c r="T59" s="152">
        <v>934.5</v>
      </c>
      <c r="U59" s="152">
        <v>1.7247E-3</v>
      </c>
      <c r="V59" s="152">
        <v>0.27911999999999998</v>
      </c>
      <c r="W59" s="152">
        <v>5.5208E-2</v>
      </c>
      <c r="X59" s="152">
        <v>0.15531500000000001</v>
      </c>
      <c r="Y59" s="164">
        <v>2.3300000000000001E-6</v>
      </c>
      <c r="Z59" s="169">
        <v>0.57099999999999995</v>
      </c>
      <c r="AA59" s="169">
        <v>62.838999999999999</v>
      </c>
      <c r="AB59" s="169">
        <v>3.4299999999999999E-4</v>
      </c>
      <c r="AC59" s="169">
        <v>0.04</v>
      </c>
      <c r="AD59" s="169">
        <v>8.0000000000000002E-3</v>
      </c>
      <c r="AE59" s="169">
        <v>2E-3</v>
      </c>
      <c r="AF59" s="169">
        <v>7.4299999999999995E-4</v>
      </c>
      <c r="AG59" s="162">
        <v>10.64</v>
      </c>
      <c r="AH59" s="162">
        <v>3.2160000000000002</v>
      </c>
      <c r="AI59" s="173">
        <v>3.7220000000000001E-7</v>
      </c>
      <c r="AJ59" s="162">
        <v>3.49E-3</v>
      </c>
      <c r="AK59" s="162">
        <v>7.9140000000000005E-4</v>
      </c>
      <c r="AL59" s="162">
        <v>2.042E-4</v>
      </c>
      <c r="AM59" s="173">
        <v>4.0050000000000002E-15</v>
      </c>
    </row>
    <row r="60" spans="2:39" ht="44.25" customHeight="1" x14ac:dyDescent="0.25">
      <c r="B60" s="22">
        <f t="shared" si="0"/>
        <v>42</v>
      </c>
      <c r="C60" s="22" t="s">
        <v>318</v>
      </c>
      <c r="D60" s="22" t="s">
        <v>168</v>
      </c>
      <c r="E60" s="22" t="s">
        <v>435</v>
      </c>
      <c r="F60" s="23" t="s">
        <v>434</v>
      </c>
      <c r="G60" s="23" t="s">
        <v>434</v>
      </c>
      <c r="H60" s="8">
        <v>1000</v>
      </c>
      <c r="I60" s="8" t="s">
        <v>15</v>
      </c>
      <c r="J60" s="15">
        <v>123.75</v>
      </c>
      <c r="K60" s="24" t="s">
        <v>314</v>
      </c>
      <c r="L60" s="24" t="s">
        <v>320</v>
      </c>
      <c r="M60" s="152">
        <v>29</v>
      </c>
      <c r="N60" s="152">
        <v>33</v>
      </c>
      <c r="O60" s="157"/>
      <c r="P60" s="157"/>
      <c r="Q60" s="162"/>
      <c r="R60" s="162"/>
      <c r="S60" s="154">
        <v>2.4</v>
      </c>
      <c r="T60" s="152">
        <v>33</v>
      </c>
      <c r="U60" s="167">
        <v>5.2E-7</v>
      </c>
      <c r="V60" s="152">
        <v>2.5000000000000001E-2</v>
      </c>
      <c r="W60" s="167">
        <v>6.8999999999999996E-7</v>
      </c>
      <c r="X60" s="152">
        <v>3.5999999999999997E-2</v>
      </c>
      <c r="Y60" s="166">
        <v>1.7E-14</v>
      </c>
      <c r="Z60" s="169">
        <v>0.23699999999999999</v>
      </c>
      <c r="AA60" s="169">
        <v>26.021000000000001</v>
      </c>
      <c r="AB60" s="169">
        <v>1.4200000000000001E-4</v>
      </c>
      <c r="AC60" s="169">
        <v>1.7000000000000001E-2</v>
      </c>
      <c r="AD60" s="169">
        <v>3.0000000000000001E-3</v>
      </c>
      <c r="AE60" s="169">
        <v>8.5700000000000001E-4</v>
      </c>
      <c r="AF60" s="169">
        <v>3.0800000000000001E-4</v>
      </c>
      <c r="AG60" s="173">
        <v>7.0799999999999997E-4</v>
      </c>
      <c r="AH60" s="162">
        <v>0.01</v>
      </c>
      <c r="AI60" s="173">
        <v>2.62E-8</v>
      </c>
      <c r="AJ60" s="173">
        <v>3.1200000000000002E-6</v>
      </c>
      <c r="AK60" s="173">
        <v>1.2799999999999999E-5</v>
      </c>
      <c r="AL60" s="173">
        <v>6.0200000000000002E-7</v>
      </c>
      <c r="AM60" s="173">
        <v>4.6800000000000003E-11</v>
      </c>
    </row>
    <row r="61" spans="2:39" ht="63.75" customHeight="1" x14ac:dyDescent="0.25">
      <c r="B61" s="22">
        <f t="shared" si="0"/>
        <v>43</v>
      </c>
      <c r="C61" s="22" t="s">
        <v>318</v>
      </c>
      <c r="D61" s="22" t="s">
        <v>55</v>
      </c>
      <c r="E61" s="22" t="s">
        <v>438</v>
      </c>
      <c r="F61" s="23" t="s">
        <v>437</v>
      </c>
      <c r="G61" s="23" t="s">
        <v>439</v>
      </c>
      <c r="H61" s="8">
        <v>1</v>
      </c>
      <c r="I61" s="8" t="s">
        <v>332</v>
      </c>
      <c r="J61" s="15">
        <v>4.2</v>
      </c>
      <c r="K61" s="24" t="s">
        <v>314</v>
      </c>
      <c r="L61" s="24" t="s">
        <v>244</v>
      </c>
      <c r="M61" s="152">
        <v>18</v>
      </c>
      <c r="N61" s="152">
        <v>281</v>
      </c>
      <c r="O61" s="157">
        <v>9.5299999999999996E-2</v>
      </c>
      <c r="P61" s="157">
        <v>1.38</v>
      </c>
      <c r="Q61" s="162">
        <v>2.59</v>
      </c>
      <c r="R61" s="162">
        <v>50.6</v>
      </c>
      <c r="S61" s="154">
        <v>3.48</v>
      </c>
      <c r="T61" s="152"/>
      <c r="U61" s="152"/>
      <c r="V61" s="152">
        <v>6.9100000000000003E-3</v>
      </c>
      <c r="W61" s="152">
        <v>1.8699999999999999E-4</v>
      </c>
      <c r="X61" s="152">
        <v>7.0200000000000002E-3</v>
      </c>
      <c r="Y61" s="168">
        <v>4.14E-8</v>
      </c>
      <c r="Z61" s="169">
        <v>0.104</v>
      </c>
      <c r="AA61" s="169"/>
      <c r="AB61" s="169"/>
      <c r="AC61" s="169">
        <v>1.17E-4</v>
      </c>
      <c r="AD61" s="169">
        <v>3.7399999999999999E-7</v>
      </c>
      <c r="AE61" s="169">
        <v>1.01E-4</v>
      </c>
      <c r="AF61" s="169">
        <v>1.0299999999999999E-14</v>
      </c>
      <c r="AG61" s="162">
        <v>1.9</v>
      </c>
      <c r="AH61" s="162"/>
      <c r="AI61" s="162"/>
      <c r="AJ61" s="162">
        <v>4.0600000000000002E-3</v>
      </c>
      <c r="AK61" s="162">
        <v>5.77E-5</v>
      </c>
      <c r="AL61" s="162">
        <v>3.7799999999999999E-3</v>
      </c>
      <c r="AM61" s="173">
        <v>1.5800000000000001E-7</v>
      </c>
    </row>
    <row r="62" spans="2:39" ht="63.75" customHeight="1" x14ac:dyDescent="0.25">
      <c r="B62" s="25"/>
      <c r="C62" s="25"/>
      <c r="D62" s="25"/>
      <c r="E62" s="25"/>
      <c r="F62" s="14"/>
      <c r="G62" s="14"/>
      <c r="H62" s="14"/>
      <c r="I62" s="14"/>
      <c r="K62" s="26"/>
      <c r="L62" s="136"/>
      <c r="S62" s="14"/>
    </row>
    <row r="63" spans="2:39" ht="63.75" customHeight="1" x14ac:dyDescent="0.25">
      <c r="B63" s="25"/>
      <c r="C63" s="25"/>
      <c r="D63" s="25"/>
      <c r="E63" s="25"/>
      <c r="F63" s="14"/>
      <c r="G63" s="14"/>
      <c r="H63" s="14"/>
      <c r="I63" s="14"/>
      <c r="K63" s="26"/>
      <c r="L63" s="26"/>
      <c r="S63" s="14"/>
    </row>
    <row r="64" spans="2:39" ht="78" customHeight="1" x14ac:dyDescent="0.25">
      <c r="B64" s="25"/>
      <c r="C64" s="25"/>
      <c r="D64" s="25"/>
      <c r="E64" s="25"/>
      <c r="F64" s="14"/>
      <c r="G64" s="14"/>
      <c r="H64" s="14"/>
      <c r="I64" s="14"/>
      <c r="K64" s="26"/>
      <c r="L64" s="26"/>
      <c r="S64" s="14"/>
    </row>
    <row r="65" spans="2:19" ht="78" customHeight="1" x14ac:dyDescent="0.25">
      <c r="B65" s="25"/>
      <c r="C65" s="25"/>
      <c r="D65" s="25"/>
      <c r="E65" s="25"/>
      <c r="F65" s="14"/>
      <c r="G65" s="14"/>
      <c r="H65" s="14"/>
      <c r="I65" s="14"/>
      <c r="K65" s="26"/>
      <c r="L65" s="26"/>
      <c r="S65" s="14"/>
    </row>
    <row r="66" spans="2:19" x14ac:dyDescent="0.25">
      <c r="C66" s="25"/>
      <c r="D66" s="25"/>
      <c r="E66" s="25"/>
      <c r="F66" s="14"/>
      <c r="G66" s="14"/>
      <c r="H66" s="14"/>
      <c r="I66" s="14"/>
      <c r="K66" s="14"/>
      <c r="L66" s="26"/>
      <c r="S66" s="14"/>
    </row>
    <row r="73" spans="2:19" x14ac:dyDescent="0.25">
      <c r="C73" t="s">
        <v>24</v>
      </c>
      <c r="D73" t="s">
        <v>25</v>
      </c>
      <c r="G73" t="s">
        <v>23</v>
      </c>
    </row>
    <row r="74" spans="2:19" x14ac:dyDescent="0.25">
      <c r="C74" t="s">
        <v>26</v>
      </c>
      <c r="D74" t="s">
        <v>27</v>
      </c>
      <c r="G74" t="s">
        <v>28</v>
      </c>
      <c r="I74" t="s">
        <v>29</v>
      </c>
      <c r="S74">
        <v>2.5000000000000001E-2</v>
      </c>
    </row>
    <row r="75" spans="2:19" x14ac:dyDescent="0.25">
      <c r="C75" t="s">
        <v>26</v>
      </c>
      <c r="D75" t="s">
        <v>30</v>
      </c>
    </row>
    <row r="76" spans="2:19" x14ac:dyDescent="0.25">
      <c r="C76" t="s">
        <v>26</v>
      </c>
      <c r="D76" t="s">
        <v>31</v>
      </c>
    </row>
    <row r="77" spans="2:19" x14ac:dyDescent="0.25">
      <c r="C77" t="s">
        <v>26</v>
      </c>
      <c r="D77" t="s">
        <v>32</v>
      </c>
    </row>
    <row r="78" spans="2:19" x14ac:dyDescent="0.25">
      <c r="C78" t="s">
        <v>26</v>
      </c>
      <c r="D78" t="s">
        <v>33</v>
      </c>
    </row>
    <row r="79" spans="2:19" x14ac:dyDescent="0.25">
      <c r="C79" t="s">
        <v>26</v>
      </c>
      <c r="D79" t="s">
        <v>33</v>
      </c>
    </row>
    <row r="80" spans="2:19" x14ac:dyDescent="0.25">
      <c r="C80" t="s">
        <v>26</v>
      </c>
      <c r="D80" t="s">
        <v>33</v>
      </c>
      <c r="I80" t="s">
        <v>29</v>
      </c>
    </row>
    <row r="81" spans="3:9" x14ac:dyDescent="0.25">
      <c r="C81" t="s">
        <v>26</v>
      </c>
      <c r="D81" t="s">
        <v>33</v>
      </c>
    </row>
    <row r="82" spans="3:9" x14ac:dyDescent="0.25">
      <c r="C82" t="s">
        <v>26</v>
      </c>
      <c r="D82" t="s">
        <v>34</v>
      </c>
      <c r="I82" t="s">
        <v>15</v>
      </c>
    </row>
    <row r="83" spans="3:9" x14ac:dyDescent="0.25">
      <c r="C83" t="s">
        <v>26</v>
      </c>
      <c r="D83" t="s">
        <v>35</v>
      </c>
      <c r="I83" t="s">
        <v>14</v>
      </c>
    </row>
    <row r="84" spans="3:9" x14ac:dyDescent="0.25">
      <c r="C84" t="s">
        <v>26</v>
      </c>
      <c r="D84" t="s">
        <v>36</v>
      </c>
    </row>
  </sheetData>
  <mergeCells count="8">
    <mergeCell ref="B7:J9"/>
    <mergeCell ref="N8:O8"/>
    <mergeCell ref="M16:N16"/>
    <mergeCell ref="Z16:AF16"/>
    <mergeCell ref="AG16:AM16"/>
    <mergeCell ref="O16:P16"/>
    <mergeCell ref="Q16:R16"/>
    <mergeCell ref="S16:Y16"/>
  </mergeCells>
  <phoneticPr fontId="4" type="noConversion"/>
  <hyperlinks>
    <hyperlink ref="L20" r:id="rId1" display="https://ecosmdp.eco-platform.org/datasetdetail/process.xhtml?uuid=f11bed16-16bd-457c-84b5-ca7e4e4d74fe&amp;version=00.01.003&amp;lang=en" xr:uid="{00000000-0004-0000-0300-000000000000}"/>
    <hyperlink ref="L22" r:id="rId2" display="https://ecosmdp.eco-platform.org/datasetdetail/process.xhtml?uuid=3cafabcd-a41f-4e84-ad33-a2b41ac18cf8&amp;version=00.01.003&amp;lang=en" xr:uid="{00000000-0004-0000-0300-000001000000}"/>
    <hyperlink ref="L21" r:id="rId3" display="https://ecosmdp.eco-platform.org/datasetdetail/process.xhtml?uuid=3cafabcd-a41f-4e84-ad33-a2b41ac18cf8&amp;version=00.01.003&amp;lang=en" xr:uid="{00000000-0004-0000-0300-000002000000}"/>
    <hyperlink ref="L23" r:id="rId4" display="https://node.epditaly.it/datasetdetail/process.xhtml?uuid=9f811933-566f-44d1-ada5-0b20a9f86a70&amp;version=00.00.031&amp;lang=en" xr:uid="{00000000-0004-0000-0300-000003000000}"/>
    <hyperlink ref="L24" r:id="rId5" xr:uid="{00000000-0004-0000-0300-000004000000}"/>
    <hyperlink ref="L25" r:id="rId6" display="https://ibudata.lca-data.com/datasetdetail/process.xhtml?uuid=4dce4c25-2a18-454e-9e6a-fdd13c95f48c&amp;version=00.01.000&amp;stock=PUBLIC&amp;lang=en" xr:uid="{00000000-0004-0000-0300-000005000000}"/>
    <hyperlink ref="L26" r:id="rId7" xr:uid="{00000000-0004-0000-0300-000006000000}"/>
    <hyperlink ref="L27" r:id="rId8" display="https://www.epddanmark.dk/media/10vdfzkx/md-23056-en.pdf" xr:uid="{00000000-0004-0000-0300-000007000000}"/>
    <hyperlink ref="L28" r:id="rId9" xr:uid="{00000000-0004-0000-0300-000008000000}"/>
    <hyperlink ref="L29" r:id="rId10" xr:uid="{00000000-0004-0000-0300-000009000000}"/>
    <hyperlink ref="L30" r:id="rId11" xr:uid="{00000000-0004-0000-0300-00000A000000}"/>
    <hyperlink ref="L31" r:id="rId12" xr:uid="{00000000-0004-0000-0300-00000B000000}"/>
    <hyperlink ref="K20" r:id="rId13" display="https://www.eco-platform.org/epd-data.html" xr:uid="{00000000-0004-0000-0300-00000C000000}"/>
    <hyperlink ref="K21" r:id="rId14" display="https://www.eco-platform.org/epd-data.html" xr:uid="{00000000-0004-0000-0300-00000D000000}"/>
    <hyperlink ref="K22" r:id="rId15" display="https://www.eco-platform.org/epd-data.html" xr:uid="{00000000-0004-0000-0300-00000E000000}"/>
    <hyperlink ref="K23" r:id="rId16" display="https://www.eco-platform.org/epd-data.html" xr:uid="{00000000-0004-0000-0300-00000F000000}"/>
    <hyperlink ref="K24" r:id="rId17" display="https://www.eco-platform.org/epd-data.html" xr:uid="{00000000-0004-0000-0300-000010000000}"/>
    <hyperlink ref="K25" r:id="rId18" display="https://www.eco-platform.org/epd-data.html" xr:uid="{00000000-0004-0000-0300-000011000000}"/>
    <hyperlink ref="K26" r:id="rId19" display="https://www.eco-platform.org/epd-data.html" xr:uid="{00000000-0004-0000-0300-000012000000}"/>
    <hyperlink ref="K27" r:id="rId20" display="https://www.eco-platform.org/epd-data.html" xr:uid="{00000000-0004-0000-0300-000013000000}"/>
    <hyperlink ref="K28" r:id="rId21" display="https://www.eco-platform.org/epd-data.html" xr:uid="{00000000-0004-0000-0300-000014000000}"/>
    <hyperlink ref="K29" r:id="rId22" display="https://www.eco-platform.org/epd-data.html" xr:uid="{00000000-0004-0000-0300-000015000000}"/>
    <hyperlink ref="K30" r:id="rId23" display="https://www.eco-platform.org/epd-data.html" xr:uid="{00000000-0004-0000-0300-000016000000}"/>
    <hyperlink ref="K31" r:id="rId24" display="https://www.eco-platform.org/epd-data.html" xr:uid="{00000000-0004-0000-0300-000017000000}"/>
    <hyperlink ref="K32" r:id="rId25" display="https://www.eco-platform.org/epd-data.html" xr:uid="{00000000-0004-0000-0300-000018000000}"/>
    <hyperlink ref="L32" r:id="rId26" display="https://ecosmdp.eco-platform.org/datasetdetail/process.xhtml?uuid=ee3ace89-f97e-408b-975f-7e869e5a80d9&amp;version=00.01.002&amp;lang=en" xr:uid="{00000000-0004-0000-0300-000019000000}"/>
    <hyperlink ref="L34" r:id="rId27" display="https://data.environdec.com/datasetdetail/process.xhtml?uuid=c07e1a51-7e69-4402-8cad-bb50e8d2f2b7&amp;version=01.00.001&amp;lang=en" xr:uid="{00000000-0004-0000-0300-00001A000000}"/>
    <hyperlink ref="K34" r:id="rId28" display="https://www.eco-platform.org/epd-data.html" xr:uid="{00000000-0004-0000-0300-00001B000000}"/>
    <hyperlink ref="L35" r:id="rId29" display="https://data.environdec.com/datasetdetail/process.xhtml?uuid=c6b54c7b-7ae1-463c-0898-08da42bffe9b&amp;version=07.00.015&amp;lang=en" xr:uid="{00000000-0004-0000-0300-00001C000000}"/>
    <hyperlink ref="K35" r:id="rId30" display="https://www.eco-platform.org/epd-data.html" xr:uid="{00000000-0004-0000-0300-00001D000000}"/>
    <hyperlink ref="L33" r:id="rId31" display="https://ecosmdp.eco-platform.org/datasetdetail/process.xhtml?uuid=10875a7e-806c-4d90-8fe0-868e47e91b36&amp;version=00.00.013&amp;lang=en" xr:uid="{00000000-0004-0000-0300-00001E000000}"/>
    <hyperlink ref="K33" r:id="rId32" display="https://www.eco-platform.org/epd-data.html" xr:uid="{00000000-0004-0000-0300-00001F000000}"/>
    <hyperlink ref="K36" r:id="rId33" display="https://www.eco-platform.org/epd-data.html" xr:uid="{00000000-0004-0000-0300-000020000000}"/>
    <hyperlink ref="K37" r:id="rId34" display="https://www.eco-platform.org/epd-data.html" xr:uid="{00000000-0004-0000-0300-000021000000}"/>
    <hyperlink ref="L37" r:id="rId35" display="https://ibudata.lca-data.com/datasetdetail/process.xhtml?uuid=19eab6fe-2082-43e3-96b3-964a90576965&amp;version=00.02.000&amp;stock=PUBLIC&amp;lang=en" xr:uid="{00000000-0004-0000-0300-000022000000}"/>
    <hyperlink ref="K38" r:id="rId36" display="https://www.eco-platform.org/epd-data.html" xr:uid="{00000000-0004-0000-0300-000023000000}"/>
    <hyperlink ref="L38" r:id="rId37" display="https://data.environdec.com/datasetdetail/process.xhtml?uuid=870b8916-0b8e-4428-882b-2b142888dfc2&amp;version=01.00.001&amp;lang=en" xr:uid="{00000000-0004-0000-0300-000024000000}"/>
    <hyperlink ref="K39" r:id="rId38" display="https://www.eco-platform.org/epd-data.html" xr:uid="{00000000-0004-0000-0300-000025000000}"/>
    <hyperlink ref="L39" r:id="rId39" display="https://ibudata.lca-data.com/datasetdetail/process.xhtml?uuid=e9f65a5d-5e7b-4d57-ac5d-09a059663036&amp;version=00.02.000&amp;stock=PUBLIC&amp;lang=en" xr:uid="{00000000-0004-0000-0300-000026000000}"/>
    <hyperlink ref="K40" r:id="rId40" display="https://www.eco-platform.org/epd-data.html" xr:uid="{00000000-0004-0000-0300-000027000000}"/>
    <hyperlink ref="L40" r:id="rId41" display="https://data.environdec.com/datasetdetail/process.xhtml?uuid=5843d601-511f-4d49-ee6e-08dabcce83b0&amp;version=07.00.015&amp;lang=en" xr:uid="{00000000-0004-0000-0300-000028000000}"/>
    <hyperlink ref="K41" r:id="rId42" display="https://www.eco-platform.org/epd-data.html" xr:uid="{00000000-0004-0000-0300-000029000000}"/>
    <hyperlink ref="L41" r:id="rId43" display="https://ibudata.lca-data.com/datasetdetail/process.xhtml?uuid=e61fb095-9e7d-40e2-a9a6-0449225f9df6&amp;version=00.01.000&amp;stock=PUBLIC&amp;lang=en" xr:uid="{00000000-0004-0000-0300-00002A000000}"/>
    <hyperlink ref="K42" r:id="rId44" display="https://www.eco-platform.org/epd-data.html" xr:uid="{00000000-0004-0000-0300-00002B000000}"/>
    <hyperlink ref="L42" r:id="rId45" display="https://ecosmdp.eco-platform.org/datasetdetail/process.xhtml?uuid=73e8de0d-0f83-4788-b59d-a422b5d7f3af&amp;version=01.00.033&amp;lang=en" xr:uid="{00000000-0004-0000-0300-00002C000000}"/>
    <hyperlink ref="K43" r:id="rId46" display="https://www.eco-platform.org/epd-data.html" xr:uid="{00000000-0004-0000-0300-00002D000000}"/>
    <hyperlink ref="L43" r:id="rId47" display="https://epdireland.lca-data.com/datasetdetail/process.xhtml?uuid=02fcdde0-c1b7-4f81-8beb-02f9b468c43f&amp;version=00.03.001&amp;lang=en" xr:uid="{00000000-0004-0000-0300-00002E000000}"/>
    <hyperlink ref="K44" r:id="rId48" display="https://www.eco-platform.org/epd-data.html" xr:uid="{00000000-0004-0000-0300-00002F000000}"/>
    <hyperlink ref="L44" r:id="rId49" display="https://data.environdec.com/datasetdetail/process.xhtml?uuid=3fc6f33a-52fe-422a-a072-1524a2c1dbf6&amp;version=07.00.015&amp;lang=en" xr:uid="{00000000-0004-0000-0300-000030000000}"/>
    <hyperlink ref="K45" r:id="rId50" display="https://www.eco-platform.org/epd-data.html" xr:uid="{00000000-0004-0000-0300-000031000000}"/>
    <hyperlink ref="L45" r:id="rId51" display="https://ibudata.lca-data.com/datasetdetail/process.xhtml?uuid=8ed3a0e3-2676-4070-9f08-3843f7dcee03&amp;version=00.01.000&amp;stock=PUBLIC&amp;lang=en" xr:uid="{00000000-0004-0000-0300-000032000000}"/>
    <hyperlink ref="K47" r:id="rId52" display="https://www.eco-platform.org/epd-data.html" xr:uid="{00000000-0004-0000-0300-000033000000}"/>
    <hyperlink ref="L47" r:id="rId53" xr:uid="{00000000-0004-0000-0300-000034000000}"/>
    <hyperlink ref="L46" r:id="rId54" display="https://ibudata.lca-data.com/datasetdetail/process.xhtml?uuid=f7cced34-3863-4f25-97b6-a6e2a6b97de5&amp;version=00.05.000&amp;stock=PUBLIC&amp;lang=en" xr:uid="{00000000-0004-0000-0300-000035000000}"/>
    <hyperlink ref="K46" r:id="rId55" display="https://www.eco-platform.org/epd-data.html" xr:uid="{00000000-0004-0000-0300-000036000000}"/>
    <hyperlink ref="L48" r:id="rId56" display="https://epdireland.lca-data.com/datasetdetail/process.xhtml?uuid=51e28fc4-2e9f-46b9-b930-f01da6dc0355&amp;version=00.03.002&amp;lang=en" xr:uid="{00000000-0004-0000-0300-000037000000}"/>
    <hyperlink ref="K48" r:id="rId57" display="https://www.eco-platform.org/epd-data.html" xr:uid="{00000000-0004-0000-0300-000038000000}"/>
    <hyperlink ref="K49" r:id="rId58" display="https://www.eco-platform.org/epd-data.html" xr:uid="{00000000-0004-0000-0300-000039000000}"/>
    <hyperlink ref="L49" r:id="rId59" display="https://epdnorway.lca-data.com/datasetdetail/process.xhtml?uuid=16b66437-48f3-43bd-bc64-4a074f55c585&amp;version=00.04.001&amp;stock=PUBLIC&amp;lang=en" xr:uid="{00000000-0004-0000-0300-00003A000000}"/>
    <hyperlink ref="L50" r:id="rId60" display="https://ibudata.lca-data.com/datasetdetail/process.xhtml?uuid=fb5594ce-cbe4-430a-9707-cdcd09f3ab95&amp;version=00.02.000&amp;stock=PUBLIC&amp;lang=en" xr:uid="{00000000-0004-0000-0300-00003B000000}"/>
    <hyperlink ref="L51" r:id="rId61" display="https://data.mrpi.nl/datasetdetail/process.xhtml?uuid=b81312ac-130c-40a4-a62c-c4cf6a738209&amp;version=10.00.001&amp;stock=PUBLIC&amp;lang=en" xr:uid="{00000000-0004-0000-0300-00003C000000}"/>
    <hyperlink ref="L52" r:id="rId62" xr:uid="{00000000-0004-0000-0300-00003D000000}"/>
    <hyperlink ref="L53" r:id="rId63" display="https://data.environdec.com/datasetdetail/process.xhtml?uuid=c5f8165f-5e0e-4411-7146-08da598ce856&amp;version=07.00.015&amp;lang=en" xr:uid="{00000000-0004-0000-0300-00003E000000}"/>
    <hyperlink ref="L54" r:id="rId64" xr:uid="{00000000-0004-0000-0300-00003F000000}"/>
    <hyperlink ref="L36" r:id="rId65" xr:uid="{00000000-0004-0000-0300-000040000000}"/>
    <hyperlink ref="L55" r:id="rId66" xr:uid="{00000000-0004-0000-0300-000041000000}"/>
    <hyperlink ref="L56" r:id="rId67" display="https://epdireland.lca-data.com/datasetdetail/process.xhtml?uuid=6c5e2764-9704-4e9e-a8b9-0f2d7090c5bb&amp;version=00.03.001&amp;lang=en" xr:uid="{00000000-0004-0000-0300-000042000000}"/>
    <hyperlink ref="K50" r:id="rId68" display="https://www.eco-platform.org/epd-data.html" xr:uid="{00000000-0004-0000-0300-000043000000}"/>
    <hyperlink ref="K51" r:id="rId69" display="https://www.eco-platform.org/epd-data.html" xr:uid="{00000000-0004-0000-0300-000044000000}"/>
    <hyperlink ref="K53" r:id="rId70" display="https://www.eco-platform.org/epd-data.html" xr:uid="{00000000-0004-0000-0300-000045000000}"/>
    <hyperlink ref="K52" r:id="rId71" display="https://www.eco-platform.org/epd-data.html" xr:uid="{00000000-0004-0000-0300-000046000000}"/>
    <hyperlink ref="K54" r:id="rId72" display="https://www.eco-platform.org/epd-data.html" xr:uid="{00000000-0004-0000-0300-000047000000}"/>
    <hyperlink ref="K55" r:id="rId73" display="https://www.eco-platform.org/epd-data.html" xr:uid="{00000000-0004-0000-0300-000048000000}"/>
    <hyperlink ref="K56" r:id="rId74" display="https://www.eco-platform.org/epd-data.html" xr:uid="{00000000-0004-0000-0300-000049000000}"/>
    <hyperlink ref="K57" r:id="rId75" display="https://www.eco-platform.org/epd-data.html" xr:uid="{00000000-0004-0000-0300-00004A000000}"/>
    <hyperlink ref="L57" r:id="rId76" xr:uid="{00000000-0004-0000-0300-00004B000000}"/>
    <hyperlink ref="L59" r:id="rId77" display="https://itb.lca-data.com/datasetdetail/process.xhtml?uuid=ae9dc9d5-d35b-4779-af67-d7d2dd6a86ef&amp;version=00.04.001&amp;lang=en" xr:uid="{00000000-0004-0000-0300-00004C000000}"/>
    <hyperlink ref="K59" r:id="rId78" display="https://www.eco-platform.org/epd-data.html" xr:uid="{00000000-0004-0000-0300-00004D000000}"/>
    <hyperlink ref="L58" r:id="rId79" xr:uid="{00000000-0004-0000-0300-00004E000000}"/>
    <hyperlink ref="K58" r:id="rId80" display="https://www.eco-platform.org/epd-data.html" xr:uid="{00000000-0004-0000-0300-00004F000000}"/>
    <hyperlink ref="K60" r:id="rId81" display="https://www.eco-platform.org/epd-data.html" xr:uid="{00000000-0004-0000-0300-000050000000}"/>
    <hyperlink ref="L60" r:id="rId82" display="https://data.environdec.com/datasetdetail/process.xhtml?uuid=e47c7670-3f3e-4ac1-6242-08d9b3c0fc8b&amp;version=01.00.001&amp;lang=en" xr:uid="{00000000-0004-0000-0300-000051000000}"/>
    <hyperlink ref="L61" r:id="rId83" display="https://ecosmdp.eco-platform.org/datasetdetail/process.xhtml?uuid=ac5aa5bc-d6cd-4f99-8a7e-d22661b36768&amp;version=00.01.007&amp;lang=en" xr:uid="{00000000-0004-0000-0300-000052000000}"/>
    <hyperlink ref="K61" r:id="rId84" display="https://www.eco-platform.org/epd-data.html" xr:uid="{00000000-0004-0000-0300-000053000000}"/>
    <hyperlink ref="L19" r:id="rId85" display="https://ibudata.lca-data.com/datasetdetail/process.xhtml?uuid=c258155d-6075-45b0-b691-cddf67cfdcce&amp;version=00.01.000&amp;stock=PUBLIC&amp;lang=en" xr:uid="{00000000-0004-0000-0300-000054000000}"/>
    <hyperlink ref="K19" r:id="rId86" display="https://www.eco-platform.org/epd-data.html" xr:uid="{00000000-0004-0000-0300-000055000000}"/>
  </hyperlinks>
  <pageMargins left="0.70866141732283472" right="0.70866141732283472" top="0.74803149606299213" bottom="0.74803149606299213" header="0.31496062992125984" footer="0.31496062992125984"/>
  <pageSetup paperSize="9" scale="41" orientation="portrait" r:id="rId87"/>
  <headerFooter>
    <oddFooter>&amp;C&amp;D
Page &amp;P</oddFooter>
  </headerFooter>
  <drawing r:id="rId88"/>
  <legacyDrawing r:id="rId8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4:CE154"/>
  <sheetViews>
    <sheetView view="pageBreakPreview" zoomScale="25" zoomScaleNormal="85" zoomScaleSheetLayoutView="25" workbookViewId="0">
      <selection activeCell="CH151" sqref="CH151"/>
    </sheetView>
  </sheetViews>
  <sheetFormatPr baseColWidth="10" defaultColWidth="11.42578125" defaultRowHeight="15" x14ac:dyDescent="0.25"/>
  <cols>
    <col min="3" max="3" width="13.7109375" customWidth="1"/>
    <col min="4" max="4" width="16.42578125" customWidth="1"/>
    <col min="5" max="5" width="27.85546875" customWidth="1"/>
    <col min="6" max="6" width="11" customWidth="1"/>
    <col min="7" max="7" width="34.28515625" customWidth="1"/>
    <col min="8" max="8" width="13.42578125" customWidth="1"/>
    <col min="9" max="9" width="14.7109375" customWidth="1"/>
    <col min="11" max="11" width="3.42578125" customWidth="1"/>
    <col min="12" max="12" width="13.140625" customWidth="1"/>
    <col min="13" max="13" width="15.5703125" customWidth="1"/>
    <col min="14" max="14" width="16.140625" customWidth="1"/>
    <col min="15" max="15" width="19" customWidth="1"/>
    <col min="16" max="16" width="15.7109375" customWidth="1"/>
    <col min="17" max="17" width="15.42578125" customWidth="1"/>
    <col min="18" max="18" width="16.7109375" customWidth="1"/>
    <col min="19" max="19" width="16.5703125" customWidth="1"/>
    <col min="20" max="20" width="12.85546875" customWidth="1"/>
    <col min="21" max="21" width="14.7109375" customWidth="1"/>
    <col min="22" max="22" width="15" customWidth="1"/>
    <col min="23" max="23" width="18.140625" customWidth="1"/>
    <col min="24" max="39" width="18.42578125" customWidth="1"/>
    <col min="40" max="40" width="19.140625" customWidth="1"/>
    <col min="41" max="41" width="16.7109375" customWidth="1"/>
    <col min="42" max="46" width="17" customWidth="1"/>
    <col min="47" max="47" width="21.140625" customWidth="1"/>
    <col min="48" max="48" width="17.42578125" customWidth="1"/>
    <col min="49" max="49" width="17" customWidth="1"/>
    <col min="50" max="50" width="20.42578125" customWidth="1"/>
    <col min="51" max="51" width="19.28515625" customWidth="1"/>
    <col min="52" max="52" width="20" customWidth="1"/>
    <col min="53" max="53" width="13.85546875" customWidth="1"/>
    <col min="54" max="54" width="19.5703125" customWidth="1"/>
    <col min="55" max="59" width="11.42578125" customWidth="1"/>
    <col min="60" max="60" width="13" customWidth="1"/>
    <col min="61" max="61" width="18" customWidth="1"/>
    <col min="62" max="66" width="11.42578125" customWidth="1"/>
    <col min="67" max="67" width="13.5703125" customWidth="1"/>
  </cols>
  <sheetData>
    <row r="4" spans="3:46" ht="15.75" thickBot="1" x14ac:dyDescent="0.3"/>
    <row r="5" spans="3:46" ht="16.5" thickBot="1" x14ac:dyDescent="0.3">
      <c r="G5" s="236" t="s">
        <v>774</v>
      </c>
      <c r="M5" s="371" t="s">
        <v>644</v>
      </c>
      <c r="N5" s="372"/>
      <c r="O5" s="372"/>
      <c r="P5" s="372"/>
      <c r="Q5" s="372"/>
      <c r="R5" s="373"/>
    </row>
    <row r="6" spans="3:46" ht="15.75" customHeight="1" x14ac:dyDescent="0.25">
      <c r="C6" s="294" t="s">
        <v>775</v>
      </c>
      <c r="D6" s="294"/>
      <c r="E6" s="294"/>
      <c r="F6" s="294"/>
      <c r="G6" s="294"/>
      <c r="H6" s="294"/>
      <c r="I6" s="294"/>
      <c r="J6" s="294"/>
      <c r="K6" s="294"/>
      <c r="L6" s="294"/>
      <c r="M6" s="374" t="s">
        <v>241</v>
      </c>
      <c r="N6" s="375"/>
      <c r="O6" s="375"/>
      <c r="P6" s="375" t="s">
        <v>250</v>
      </c>
      <c r="Q6" s="375"/>
      <c r="R6" s="397"/>
    </row>
    <row r="7" spans="3:46" x14ac:dyDescent="0.25">
      <c r="C7" s="294"/>
      <c r="D7" s="294"/>
      <c r="E7" s="294"/>
      <c r="F7" s="294"/>
      <c r="G7" s="294"/>
      <c r="H7" s="294"/>
      <c r="I7" s="294"/>
      <c r="J7" s="294"/>
      <c r="K7" s="294"/>
      <c r="L7" s="294"/>
      <c r="M7" s="376" t="s">
        <v>242</v>
      </c>
      <c r="N7" s="377"/>
      <c r="O7" s="377"/>
      <c r="P7" s="378" t="s">
        <v>252</v>
      </c>
      <c r="Q7" s="378"/>
      <c r="R7" s="379"/>
    </row>
    <row r="8" spans="3:46" x14ac:dyDescent="0.25">
      <c r="C8" s="294"/>
      <c r="D8" s="294"/>
      <c r="E8" s="294"/>
      <c r="F8" s="294"/>
      <c r="G8" s="294"/>
      <c r="H8" s="294"/>
      <c r="I8" s="294"/>
      <c r="J8" s="294"/>
      <c r="K8" s="294"/>
      <c r="L8" s="294"/>
      <c r="M8" s="376" t="s">
        <v>245</v>
      </c>
      <c r="N8" s="377"/>
      <c r="O8" s="377"/>
      <c r="P8" s="378" t="s">
        <v>255</v>
      </c>
      <c r="Q8" s="378"/>
      <c r="R8" s="379"/>
    </row>
    <row r="9" spans="3:46" ht="15.75" thickBot="1" x14ac:dyDescent="0.3">
      <c r="C9" s="248"/>
      <c r="D9" s="248"/>
      <c r="E9" s="248"/>
      <c r="F9" s="248"/>
      <c r="G9" s="248"/>
      <c r="H9" s="248"/>
      <c r="I9" s="248"/>
      <c r="J9" s="248"/>
      <c r="K9" s="248"/>
      <c r="L9" s="248"/>
      <c r="M9" s="384" t="s">
        <v>248</v>
      </c>
      <c r="N9" s="385"/>
      <c r="O9" s="386"/>
      <c r="P9" s="258"/>
      <c r="Q9" s="259"/>
      <c r="R9" s="260"/>
    </row>
    <row r="10" spans="3:46" ht="18.75" x14ac:dyDescent="0.25">
      <c r="G10" s="247" t="s">
        <v>776</v>
      </c>
    </row>
    <row r="11" spans="3:46" ht="15.75" thickBot="1" x14ac:dyDescent="0.3">
      <c r="Q11" s="341" t="s">
        <v>640</v>
      </c>
      <c r="R11" s="341"/>
    </row>
    <row r="12" spans="3:46" ht="23.25" x14ac:dyDescent="0.35">
      <c r="F12" s="13"/>
      <c r="G12" s="256" t="s">
        <v>778</v>
      </c>
      <c r="H12" s="13"/>
      <c r="M12" s="390" t="s">
        <v>264</v>
      </c>
      <c r="N12" s="391"/>
      <c r="O12" s="391"/>
      <c r="P12" s="392"/>
      <c r="Q12" s="199" t="s">
        <v>637</v>
      </c>
      <c r="R12" s="190" t="s">
        <v>648</v>
      </c>
    </row>
    <row r="13" spans="3:46" x14ac:dyDescent="0.25">
      <c r="M13" s="393" t="s">
        <v>266</v>
      </c>
      <c r="N13" s="378"/>
      <c r="O13" s="378"/>
      <c r="P13" s="379"/>
      <c r="Q13" s="199" t="s">
        <v>638</v>
      </c>
      <c r="R13" s="191" t="s">
        <v>649</v>
      </c>
    </row>
    <row r="14" spans="3:46" ht="15" customHeight="1" thickBot="1" x14ac:dyDescent="0.3">
      <c r="H14" s="19"/>
      <c r="I14" s="19"/>
      <c r="M14" s="394" t="s">
        <v>265</v>
      </c>
      <c r="N14" s="395"/>
      <c r="O14" s="395"/>
      <c r="P14" s="396"/>
      <c r="Q14" s="200" t="s">
        <v>639</v>
      </c>
      <c r="R14" s="192" t="s">
        <v>650</v>
      </c>
    </row>
    <row r="15" spans="3:46" ht="21" x14ac:dyDescent="0.35">
      <c r="F15" s="270" t="s">
        <v>788</v>
      </c>
      <c r="G15" s="277" t="str">
        <f>'Building &amp; Material inputs'!C15</f>
        <v xml:space="preserve"> Single-family house in concrete and bricks</v>
      </c>
      <c r="H15" s="19"/>
      <c r="I15" s="19"/>
    </row>
    <row r="16" spans="3:46" x14ac:dyDescent="0.25">
      <c r="F16" s="19"/>
      <c r="G16" s="19"/>
      <c r="H16" s="19"/>
      <c r="I16" s="19"/>
      <c r="M16" s="388" t="s">
        <v>651</v>
      </c>
      <c r="N16" s="388"/>
      <c r="O16" s="388"/>
      <c r="P16" s="388"/>
      <c r="Q16" s="388"/>
      <c r="R16" s="388"/>
      <c r="S16" s="388"/>
      <c r="AO16" s="387" t="s">
        <v>647</v>
      </c>
      <c r="AP16" s="387"/>
      <c r="AQ16" s="387"/>
      <c r="AR16" s="387"/>
      <c r="AS16" s="387"/>
      <c r="AT16" s="387"/>
    </row>
    <row r="17" spans="2:67" x14ac:dyDescent="0.25">
      <c r="C17" s="110"/>
      <c r="D17" s="110"/>
      <c r="E17" s="111"/>
      <c r="F17" s="19"/>
      <c r="G17" s="19"/>
      <c r="H17" s="19"/>
      <c r="I17" s="19"/>
      <c r="M17" s="356" t="s">
        <v>263</v>
      </c>
      <c r="N17" s="353"/>
      <c r="O17" s="389" t="s">
        <v>642</v>
      </c>
      <c r="P17" s="389"/>
      <c r="Q17" s="383" t="s">
        <v>643</v>
      </c>
      <c r="R17" s="383"/>
      <c r="S17" s="351" t="s">
        <v>779</v>
      </c>
      <c r="T17" s="352"/>
      <c r="U17" s="352"/>
      <c r="V17" s="352"/>
      <c r="W17" s="352"/>
      <c r="X17" s="352"/>
      <c r="Y17" s="353"/>
      <c r="Z17" s="343" t="s">
        <v>780</v>
      </c>
      <c r="AA17" s="344"/>
      <c r="AB17" s="344"/>
      <c r="AC17" s="344"/>
      <c r="AD17" s="344"/>
      <c r="AE17" s="344"/>
      <c r="AF17" s="348"/>
      <c r="AG17" s="383" t="s">
        <v>781</v>
      </c>
      <c r="AH17" s="383"/>
      <c r="AI17" s="383"/>
      <c r="AJ17" s="383"/>
      <c r="AK17" s="383"/>
      <c r="AL17" s="383"/>
      <c r="AM17" s="383"/>
      <c r="AO17" s="381" t="s">
        <v>583</v>
      </c>
      <c r="AP17" s="382"/>
      <c r="AQ17" s="343" t="s">
        <v>645</v>
      </c>
      <c r="AR17" s="348"/>
      <c r="AS17" s="349" t="s">
        <v>646</v>
      </c>
      <c r="AT17" s="350"/>
      <c r="AU17" s="351" t="s">
        <v>783</v>
      </c>
      <c r="AV17" s="352"/>
      <c r="AW17" s="352"/>
      <c r="AX17" s="352"/>
      <c r="AY17" s="352"/>
      <c r="AZ17" s="352"/>
      <c r="BA17" s="353"/>
      <c r="BB17" s="343" t="s">
        <v>782</v>
      </c>
      <c r="BC17" s="344"/>
      <c r="BD17" s="344"/>
      <c r="BE17" s="344"/>
      <c r="BF17" s="344"/>
      <c r="BG17" s="344"/>
      <c r="BH17" s="348"/>
      <c r="BI17" s="349" t="s">
        <v>784</v>
      </c>
      <c r="BJ17" s="380"/>
      <c r="BK17" s="380"/>
      <c r="BL17" s="380"/>
      <c r="BM17" s="380"/>
      <c r="BN17" s="380"/>
      <c r="BO17" s="350"/>
    </row>
    <row r="18" spans="2:67" x14ac:dyDescent="0.25">
      <c r="C18" s="110"/>
      <c r="D18" s="110"/>
      <c r="E18" s="111"/>
      <c r="L18" s="131" t="s">
        <v>622</v>
      </c>
      <c r="M18" s="151" t="s">
        <v>584</v>
      </c>
      <c r="N18" s="149" t="s">
        <v>634</v>
      </c>
      <c r="O18" s="177" t="s">
        <v>584</v>
      </c>
      <c r="P18" s="177" t="s">
        <v>634</v>
      </c>
      <c r="Q18" s="178" t="s">
        <v>584</v>
      </c>
      <c r="R18" s="178" t="s">
        <v>634</v>
      </c>
      <c r="S18" s="183" t="s">
        <v>38</v>
      </c>
      <c r="T18" s="151" t="s">
        <v>587</v>
      </c>
      <c r="U18" s="151" t="s">
        <v>588</v>
      </c>
      <c r="V18" s="151" t="s">
        <v>590</v>
      </c>
      <c r="W18" s="151" t="s">
        <v>592</v>
      </c>
      <c r="X18" s="151" t="s">
        <v>594</v>
      </c>
      <c r="Y18" s="151" t="s">
        <v>613</v>
      </c>
      <c r="Z18" s="182" t="s">
        <v>38</v>
      </c>
      <c r="AA18" s="150" t="s">
        <v>587</v>
      </c>
      <c r="AB18" s="150" t="s">
        <v>588</v>
      </c>
      <c r="AC18" s="150" t="s">
        <v>590</v>
      </c>
      <c r="AD18" s="150" t="s">
        <v>592</v>
      </c>
      <c r="AE18" s="150" t="s">
        <v>594</v>
      </c>
      <c r="AF18" s="150" t="s">
        <v>613</v>
      </c>
      <c r="AG18" s="184" t="s">
        <v>38</v>
      </c>
      <c r="AH18" s="181" t="s">
        <v>587</v>
      </c>
      <c r="AI18" s="181" t="s">
        <v>588</v>
      </c>
      <c r="AJ18" s="181" t="s">
        <v>590</v>
      </c>
      <c r="AK18" s="181" t="s">
        <v>592</v>
      </c>
      <c r="AL18" s="181" t="s">
        <v>594</v>
      </c>
      <c r="AM18" s="181" t="s">
        <v>613</v>
      </c>
      <c r="AO18" s="151" t="s">
        <v>584</v>
      </c>
      <c r="AP18" s="149" t="s">
        <v>584</v>
      </c>
      <c r="AQ18" s="150" t="s">
        <v>584</v>
      </c>
      <c r="AR18" s="175" t="s">
        <v>584</v>
      </c>
      <c r="AS18" s="181" t="s">
        <v>584</v>
      </c>
      <c r="AT18" s="176" t="s">
        <v>584</v>
      </c>
      <c r="AU18" s="183" t="s">
        <v>38</v>
      </c>
      <c r="AV18" s="151" t="s">
        <v>587</v>
      </c>
      <c r="AW18" s="151" t="s">
        <v>588</v>
      </c>
      <c r="AX18" s="151" t="s">
        <v>590</v>
      </c>
      <c r="AY18" s="151" t="s">
        <v>592</v>
      </c>
      <c r="AZ18" s="151" t="s">
        <v>594</v>
      </c>
      <c r="BA18" s="151" t="s">
        <v>613</v>
      </c>
      <c r="BB18" s="182" t="s">
        <v>38</v>
      </c>
      <c r="BC18" s="150" t="s">
        <v>587</v>
      </c>
      <c r="BD18" s="150" t="s">
        <v>588</v>
      </c>
      <c r="BE18" s="150" t="s">
        <v>590</v>
      </c>
      <c r="BF18" s="150" t="s">
        <v>592</v>
      </c>
      <c r="BG18" s="150" t="s">
        <v>594</v>
      </c>
      <c r="BH18" s="150" t="s">
        <v>613</v>
      </c>
      <c r="BI18" s="184" t="s">
        <v>38</v>
      </c>
      <c r="BJ18" s="181" t="s">
        <v>587</v>
      </c>
      <c r="BK18" s="181" t="s">
        <v>588</v>
      </c>
      <c r="BL18" s="181" t="s">
        <v>590</v>
      </c>
      <c r="BM18" s="181" t="s">
        <v>592</v>
      </c>
      <c r="BN18" s="181" t="s">
        <v>594</v>
      </c>
      <c r="BO18" s="181" t="s">
        <v>613</v>
      </c>
    </row>
    <row r="19" spans="2:67" x14ac:dyDescent="0.25">
      <c r="B19" s="42" t="s">
        <v>37</v>
      </c>
      <c r="C19" s="42" t="s">
        <v>17</v>
      </c>
      <c r="D19" s="341" t="s">
        <v>41</v>
      </c>
      <c r="E19" s="341"/>
      <c r="F19" s="229" t="s">
        <v>77</v>
      </c>
      <c r="G19" s="42" t="s">
        <v>43</v>
      </c>
      <c r="H19" s="42" t="s">
        <v>42</v>
      </c>
      <c r="I19" s="229" t="s">
        <v>473</v>
      </c>
      <c r="J19" s="42" t="s">
        <v>474</v>
      </c>
      <c r="K19" s="2"/>
      <c r="L19" s="132" t="s">
        <v>791</v>
      </c>
      <c r="M19" s="151" t="s">
        <v>585</v>
      </c>
      <c r="N19" s="149" t="s">
        <v>585</v>
      </c>
      <c r="O19" s="177" t="s">
        <v>585</v>
      </c>
      <c r="P19" s="177" t="s">
        <v>585</v>
      </c>
      <c r="Q19" s="178" t="s">
        <v>585</v>
      </c>
      <c r="R19" s="178" t="s">
        <v>585</v>
      </c>
      <c r="S19" s="183" t="s">
        <v>657</v>
      </c>
      <c r="T19" s="151" t="s">
        <v>585</v>
      </c>
      <c r="U19" s="151" t="s">
        <v>589</v>
      </c>
      <c r="V19" s="151" t="s">
        <v>591</v>
      </c>
      <c r="W19" s="151" t="s">
        <v>593</v>
      </c>
      <c r="X19" s="151" t="s">
        <v>595</v>
      </c>
      <c r="Y19" s="151" t="s">
        <v>615</v>
      </c>
      <c r="Z19" s="182" t="s">
        <v>586</v>
      </c>
      <c r="AA19" s="150" t="s">
        <v>585</v>
      </c>
      <c r="AB19" s="150" t="s">
        <v>589</v>
      </c>
      <c r="AC19" s="150" t="s">
        <v>591</v>
      </c>
      <c r="AD19" s="150" t="s">
        <v>593</v>
      </c>
      <c r="AE19" s="150" t="s">
        <v>595</v>
      </c>
      <c r="AF19" s="150" t="s">
        <v>615</v>
      </c>
      <c r="AG19" s="184" t="s">
        <v>586</v>
      </c>
      <c r="AH19" s="181" t="s">
        <v>585</v>
      </c>
      <c r="AI19" s="181" t="s">
        <v>589</v>
      </c>
      <c r="AJ19" s="181" t="s">
        <v>591</v>
      </c>
      <c r="AK19" s="181" t="s">
        <v>593</v>
      </c>
      <c r="AL19" s="181" t="s">
        <v>595</v>
      </c>
      <c r="AM19" s="181" t="s">
        <v>615</v>
      </c>
      <c r="AO19" s="151" t="s">
        <v>614</v>
      </c>
      <c r="AP19" s="149" t="s">
        <v>614</v>
      </c>
      <c r="AQ19" s="150" t="s">
        <v>614</v>
      </c>
      <c r="AR19" s="175" t="s">
        <v>614</v>
      </c>
      <c r="AS19" s="181" t="s">
        <v>614</v>
      </c>
      <c r="AT19" s="176" t="s">
        <v>614</v>
      </c>
      <c r="AU19" s="183" t="s">
        <v>616</v>
      </c>
      <c r="AV19" s="151" t="s">
        <v>614</v>
      </c>
      <c r="AW19" s="151" t="s">
        <v>617</v>
      </c>
      <c r="AX19" s="151" t="s">
        <v>618</v>
      </c>
      <c r="AY19" s="151" t="s">
        <v>619</v>
      </c>
      <c r="AZ19" s="151" t="s">
        <v>620</v>
      </c>
      <c r="BA19" s="151" t="s">
        <v>621</v>
      </c>
      <c r="BB19" s="182" t="s">
        <v>616</v>
      </c>
      <c r="BC19" s="150" t="s">
        <v>614</v>
      </c>
      <c r="BD19" s="150" t="s">
        <v>617</v>
      </c>
      <c r="BE19" s="150" t="s">
        <v>618</v>
      </c>
      <c r="BF19" s="150" t="s">
        <v>619</v>
      </c>
      <c r="BG19" s="150" t="s">
        <v>620</v>
      </c>
      <c r="BH19" s="150" t="s">
        <v>621</v>
      </c>
      <c r="BI19" s="184" t="s">
        <v>616</v>
      </c>
      <c r="BJ19" s="181" t="s">
        <v>614</v>
      </c>
      <c r="BK19" s="181" t="s">
        <v>617</v>
      </c>
      <c r="BL19" s="181" t="s">
        <v>618</v>
      </c>
      <c r="BM19" s="181" t="s">
        <v>619</v>
      </c>
      <c r="BN19" s="181" t="s">
        <v>620</v>
      </c>
      <c r="BO19" s="181" t="s">
        <v>621</v>
      </c>
    </row>
    <row r="20" spans="2:67" x14ac:dyDescent="0.25">
      <c r="D20" s="13"/>
      <c r="E20" s="13"/>
      <c r="F20" s="13"/>
      <c r="J20" s="2"/>
      <c r="K20" s="2"/>
      <c r="L20" s="2"/>
    </row>
    <row r="21" spans="2:67" x14ac:dyDescent="0.25">
      <c r="B21" s="334" t="s">
        <v>39</v>
      </c>
      <c r="C21" s="330" t="s">
        <v>69</v>
      </c>
      <c r="D21" s="334" t="s">
        <v>74</v>
      </c>
      <c r="E21" s="334"/>
      <c r="F21" s="15" t="s">
        <v>78</v>
      </c>
      <c r="G21" s="7" t="s">
        <v>19</v>
      </c>
      <c r="H21" s="7" t="str">
        <f>'Material quantities'!G22</f>
        <v>CON1</v>
      </c>
      <c r="I21" s="38">
        <f>'Material quantities'!O22</f>
        <v>0</v>
      </c>
      <c r="J21" s="42" t="s">
        <v>14</v>
      </c>
      <c r="K21" s="2"/>
      <c r="L21" s="143">
        <f>VLOOKUP($H21,'Material impact data'!$E$19:$AM$61,6,0)/VLOOKUP($H21,'Material impact data'!$E$19:$AM$61,4,0)*$I21</f>
        <v>0</v>
      </c>
      <c r="M21" s="138">
        <f>VLOOKUP($H21,'Material impact data'!$E$19:$AM$61,'Material impact data'!M$15,0)/VLOOKUP($H21,'Material impact data'!$E$19:$AM$61,4,0)*$I21</f>
        <v>0</v>
      </c>
      <c r="N21" s="138">
        <f>VLOOKUP($H21,'Material impact data'!$E$19:$AM$61,'Material impact data'!N$15,0)/VLOOKUP($H21,'Material impact data'!$E$19:$AM$61,4,0)*$I21</f>
        <v>0</v>
      </c>
      <c r="O21" s="180">
        <f>VLOOKUP($H21,'Material impact data'!$E$19:$AM$61,'Material impact data'!O$15,0)/VLOOKUP($H21,'Material impact data'!$E$19:$AM$61,4,0)*$I21</f>
        <v>0</v>
      </c>
      <c r="P21" s="180">
        <f>VLOOKUP($H21,'Material impact data'!$E$19:$AM$61,'Material impact data'!P$15,0)/VLOOKUP($H21,'Material impact data'!$E$19:$AM$61,4,0)*$I21</f>
        <v>0</v>
      </c>
      <c r="Q21" s="179">
        <f>VLOOKUP($H21,'Material impact data'!$E$19:$AM$61,'Material impact data'!Q$15,0)/VLOOKUP($H21,'Material impact data'!$E$19:$AM$61,4,0)*$I21</f>
        <v>0</v>
      </c>
      <c r="R21" s="179">
        <f>VLOOKUP($H21,'Material impact data'!$E$19:$AM$61,'Material impact data'!R$15,0)/VLOOKUP($H21,'Material impact data'!$E$19:$AM$61,4,0)*$I21</f>
        <v>0</v>
      </c>
      <c r="S21" s="138">
        <f>VLOOKUP($H21,'Material impact data'!$E$19:$AM$61,'Material impact data'!S$15,0)/VLOOKUP($H21,'Material impact data'!$E$19:$AM$61,4,0)*$I21</f>
        <v>0</v>
      </c>
      <c r="T21" s="138">
        <f>VLOOKUP($H21,'Material impact data'!$E$19:$AM$61,'Material impact data'!T$15,0)/VLOOKUP($H21,'Material impact data'!$E$19:$AM$61,4,0)*$I21</f>
        <v>0</v>
      </c>
      <c r="U21" s="138">
        <f>VLOOKUP($H21,'Material impact data'!$E$19:$AM$61,'Material impact data'!U$15,0)/VLOOKUP($H21,'Material impact data'!$E$19:$AM$61,4,0)*$I21</f>
        <v>0</v>
      </c>
      <c r="V21" s="138">
        <f>VLOOKUP($H21,'Material impact data'!$E$19:$AM$61,'Material impact data'!V$15,0)/VLOOKUP($H21,'Material impact data'!$E$19:$AM$61,4,0)*$I21</f>
        <v>0</v>
      </c>
      <c r="W21" s="138">
        <f>VLOOKUP($H21,'Material impact data'!$E$19:$AM$61,'Material impact data'!W$15,0)/VLOOKUP($H21,'Material impact data'!$E$19:$AM$61,4,0)*$I21</f>
        <v>0</v>
      </c>
      <c r="X21" s="138">
        <f>VLOOKUP($H21,'Material impact data'!$E$19:$AM$61,'Material impact data'!X$15,0)/VLOOKUP($H21,'Material impact data'!$E$19:$AM$61,4,0)*$I21</f>
        <v>0</v>
      </c>
      <c r="Y21" s="138">
        <f>VLOOKUP($H21,'Material impact data'!$E$19:$AM$61,'Material impact data'!Y$15,0)/VLOOKUP($H21,'Material impact data'!$E$19:$AM$61,4,0)*$I21</f>
        <v>0</v>
      </c>
      <c r="Z21" s="180">
        <f>VLOOKUP($H21,'Material impact data'!$E$19:$AM$61,'Material impact data'!Z$15,0)/VLOOKUP($H21,'Material impact data'!$E$19:$AM$61,4,0)*$I21</f>
        <v>0</v>
      </c>
      <c r="AA21" s="180">
        <f>VLOOKUP($H21,'Material impact data'!$E$19:$AM$61,'Material impact data'!AA$15,0)/VLOOKUP($H21,'Material impact data'!$E$19:$AM$61,4,0)*$I21</f>
        <v>0</v>
      </c>
      <c r="AB21" s="180">
        <f>VLOOKUP($H21,'Material impact data'!$E$19:$AM$61,'Material impact data'!AB$15,0)/VLOOKUP($H21,'Material impact data'!$E$19:$AM$61,4,0)*$I21</f>
        <v>0</v>
      </c>
      <c r="AC21" s="180">
        <f>VLOOKUP($H21,'Material impact data'!$E$19:$AM$61,'Material impact data'!AC$15,0)/VLOOKUP($H21,'Material impact data'!$E$19:$AM$61,4,0)*$I21</f>
        <v>0</v>
      </c>
      <c r="AD21" s="180">
        <f>VLOOKUP($H21,'Material impact data'!$E$19:$AM$61,'Material impact data'!AD$15,0)/VLOOKUP($H21,'Material impact data'!$E$19:$AM$61,4,0)*$I21</f>
        <v>0</v>
      </c>
      <c r="AE21" s="180">
        <f>VLOOKUP($H21,'Material impact data'!$E$19:$AM$61,'Material impact data'!AE$15,0)/VLOOKUP($H21,'Material impact data'!$E$19:$AM$61,4,0)*$I21</f>
        <v>0</v>
      </c>
      <c r="AF21" s="180">
        <f>VLOOKUP($H21,'Material impact data'!$E$19:$AM$61,'Material impact data'!AF$15,0)/VLOOKUP($H21,'Material impact data'!$E$19:$AM$61,4,0)*$I21</f>
        <v>0</v>
      </c>
      <c r="AG21" s="179">
        <f>VLOOKUP($H21,'Material impact data'!$E$19:$AM$61,'Material impact data'!AG$15,0)/VLOOKUP($H21,'Material impact data'!$E$19:$AM$61,4,0)*$I21</f>
        <v>0</v>
      </c>
      <c r="AH21" s="179">
        <f>VLOOKUP($H21,'Material impact data'!$E$19:$AM$61,'Material impact data'!AH$15,0)/VLOOKUP($H21,'Material impact data'!$E$19:$AM$61,4,0)*$I21</f>
        <v>0</v>
      </c>
      <c r="AI21" s="179">
        <f>VLOOKUP($H21,'Material impact data'!$E$19:$AM$61,'Material impact data'!AI$15,0)/VLOOKUP($H21,'Material impact data'!$E$19:$AM$61,4,0)*$I21</f>
        <v>0</v>
      </c>
      <c r="AJ21" s="179">
        <f>VLOOKUP($H21,'Material impact data'!$E$19:$AM$61,'Material impact data'!AJ$15,0)/VLOOKUP($H21,'Material impact data'!$E$19:$AM$61,4,0)*$I21</f>
        <v>0</v>
      </c>
      <c r="AK21" s="179">
        <f>VLOOKUP($H21,'Material impact data'!$E$19:$AM$61,'Material impact data'!AK$15,0)/VLOOKUP($H21,'Material impact data'!$E$19:$AM$61,4,0)*$I21</f>
        <v>0</v>
      </c>
      <c r="AL21" s="179">
        <f>VLOOKUP($H21,'Material impact data'!$E$19:$AM$61,'Material impact data'!AL$15,0)/VLOOKUP($H21,'Material impact data'!$E$19:$AM$61,4,0)*$I21</f>
        <v>0</v>
      </c>
      <c r="AM21" s="179">
        <f>VLOOKUP($H21,'Material impact data'!$E$19:$AM$61,'Material impact data'!AM$15,0)/VLOOKUP($H21,'Material impact data'!$E$19:$AM$61,4,0)*$I21</f>
        <v>0</v>
      </c>
      <c r="AO21" s="187">
        <f>M21/'Building &amp; Material inputs'!$C$18/'Building &amp; Material inputs'!$C$19</f>
        <v>0</v>
      </c>
      <c r="AP21" s="187">
        <f>N21/'Building &amp; Material inputs'!$C$18/'Building &amp; Material inputs'!$C$19</f>
        <v>0</v>
      </c>
      <c r="AQ21" s="139">
        <f>O21/'Building &amp; Material inputs'!$C$18/'Building &amp; Material inputs'!$C$19</f>
        <v>0</v>
      </c>
      <c r="AR21" s="139">
        <f>P21/'Building &amp; Material inputs'!$C$18/'Building &amp; Material inputs'!$C$19</f>
        <v>0</v>
      </c>
      <c r="AS21" s="170">
        <f>Q21/'Building &amp; Material inputs'!$C$18/'Building &amp; Material inputs'!$C$19</f>
        <v>0</v>
      </c>
      <c r="AT21" s="170">
        <f>R21/'Building &amp; Material inputs'!$C$18/'Building &amp; Material inputs'!$C$19</f>
        <v>0</v>
      </c>
      <c r="AU21" s="187">
        <f>S21/'Building &amp; Material inputs'!$C$18/'Building &amp; Material inputs'!$C$19</f>
        <v>0</v>
      </c>
      <c r="AV21" s="187">
        <f>T21/'Building &amp; Material inputs'!$C$18/'Building &amp; Material inputs'!$C$19</f>
        <v>0</v>
      </c>
      <c r="AW21" s="187">
        <f>U21/'Building &amp; Material inputs'!$C$18/'Building &amp; Material inputs'!$C$19</f>
        <v>0</v>
      </c>
      <c r="AX21" s="187">
        <f>V21/'Building &amp; Material inputs'!$C$18/'Building &amp; Material inputs'!$C$19</f>
        <v>0</v>
      </c>
      <c r="AY21" s="187">
        <f>W21/'Building &amp; Material inputs'!$C$18/'Building &amp; Material inputs'!$C$19</f>
        <v>0</v>
      </c>
      <c r="AZ21" s="187">
        <f>X21/'Building &amp; Material inputs'!$C$18/'Building &amp; Material inputs'!$C$19</f>
        <v>0</v>
      </c>
      <c r="BA21" s="187">
        <f>Y21/'Building &amp; Material inputs'!$C$18/'Building &amp; Material inputs'!$C$19</f>
        <v>0</v>
      </c>
      <c r="BB21" s="139">
        <f>Z21/'Building &amp; Material inputs'!$C$18/'Building &amp; Material inputs'!$C$19</f>
        <v>0</v>
      </c>
      <c r="BC21" s="139">
        <f>AA21/'Building &amp; Material inputs'!$C$18/'Building &amp; Material inputs'!$C$19</f>
        <v>0</v>
      </c>
      <c r="BD21" s="139">
        <f>AB21/'Building &amp; Material inputs'!$C$18/'Building &amp; Material inputs'!$C$19</f>
        <v>0</v>
      </c>
      <c r="BE21" s="139">
        <f>AC21/'Building &amp; Material inputs'!$C$18/'Building &amp; Material inputs'!$C$19</f>
        <v>0</v>
      </c>
      <c r="BF21" s="139">
        <f>AD21/'Building &amp; Material inputs'!$C$18/'Building &amp; Material inputs'!$C$19</f>
        <v>0</v>
      </c>
      <c r="BG21" s="139">
        <f>AE21/'Building &amp; Material inputs'!$C$18/'Building &amp; Material inputs'!$C$19</f>
        <v>0</v>
      </c>
      <c r="BH21" s="139">
        <f>AF21/'Building &amp; Material inputs'!$C$18/'Building &amp; Material inputs'!$C$19</f>
        <v>0</v>
      </c>
      <c r="BI21" s="170">
        <f>AG21/'Building &amp; Material inputs'!$C$18/'Building &amp; Material inputs'!$C$19</f>
        <v>0</v>
      </c>
      <c r="BJ21" s="170">
        <f>AH21/'Building &amp; Material inputs'!$C$18/'Building &amp; Material inputs'!$C$19</f>
        <v>0</v>
      </c>
      <c r="BK21" s="170">
        <f>AI21/'Building &amp; Material inputs'!$C$18/'Building &amp; Material inputs'!$C$19</f>
        <v>0</v>
      </c>
      <c r="BL21" s="170">
        <f>AJ21/'Building &amp; Material inputs'!$C$18/'Building &amp; Material inputs'!$C$19</f>
        <v>0</v>
      </c>
      <c r="BM21" s="170">
        <f>AK21/'Building &amp; Material inputs'!$C$18/'Building &amp; Material inputs'!$C$19</f>
        <v>0</v>
      </c>
      <c r="BN21" s="170">
        <f>AL21/'Building &amp; Material inputs'!$C$18/'Building &amp; Material inputs'!$C$19</f>
        <v>0</v>
      </c>
      <c r="BO21" s="170">
        <f>AM21/'Building &amp; Material inputs'!$C$18/'Building &amp; Material inputs'!$C$19</f>
        <v>0</v>
      </c>
    </row>
    <row r="22" spans="2:67" x14ac:dyDescent="0.25">
      <c r="B22" s="334"/>
      <c r="C22" s="331"/>
      <c r="D22" s="334"/>
      <c r="E22" s="334"/>
      <c r="F22" s="15" t="s">
        <v>80</v>
      </c>
      <c r="G22" s="7" t="s">
        <v>20</v>
      </c>
      <c r="H22" s="7" t="str">
        <f>'Material quantities'!G23</f>
        <v>REB</v>
      </c>
      <c r="I22" s="38">
        <f>'Material quantities'!O23</f>
        <v>0</v>
      </c>
      <c r="J22" s="42" t="s">
        <v>15</v>
      </c>
      <c r="K22" s="2"/>
      <c r="L22" s="143">
        <f>VLOOKUP($H22,'Material impact data'!$E$19:$AM$61,6,0)/VLOOKUP($H22,'Material impact data'!$E$19:$AM$61,4,0)*$I22</f>
        <v>0</v>
      </c>
      <c r="M22" s="138">
        <f>VLOOKUP($H22,'Material impact data'!$E$19:$AM$61,'Material impact data'!M$15,0)/VLOOKUP($H22,'Material impact data'!$E$19:$AM$61,4,0)*$I22</f>
        <v>0</v>
      </c>
      <c r="N22" s="138">
        <f>VLOOKUP($H22,'Material impact data'!$E$19:$AM$61,'Material impact data'!N$15,0)/VLOOKUP($H22,'Material impact data'!$E$19:$AM$61,4,0)*$I22</f>
        <v>0</v>
      </c>
      <c r="O22" s="180">
        <f>VLOOKUP($H22,'Material impact data'!$E$19:$AM$61,'Material impact data'!O$15,0)/VLOOKUP($H22,'Material impact data'!$E$19:$AM$61,4,0)*$I22</f>
        <v>0</v>
      </c>
      <c r="P22" s="180">
        <f>VLOOKUP($H22,'Material impact data'!$E$19:$AM$61,'Material impact data'!P$15,0)/VLOOKUP($H22,'Material impact data'!$E$19:$AM$61,4,0)*$I22</f>
        <v>0</v>
      </c>
      <c r="Q22" s="179">
        <f>VLOOKUP($H22,'Material impact data'!$E$19:$AM$61,'Material impact data'!Q$15,0)/VLOOKUP($H22,'Material impact data'!$E$19:$AM$61,4,0)*$I22</f>
        <v>0</v>
      </c>
      <c r="R22" s="179">
        <f>VLOOKUP($H22,'Material impact data'!$E$19:$AM$61,'Material impact data'!R$15,0)/VLOOKUP($H22,'Material impact data'!$E$19:$AM$61,4,0)*$I22</f>
        <v>0</v>
      </c>
      <c r="S22" s="138">
        <f>VLOOKUP($H22,'Material impact data'!$E$19:$AM$61,'Material impact data'!S$15,0)/VLOOKUP($H22,'Material impact data'!$E$19:$AM$61,4,0)*$I22</f>
        <v>0</v>
      </c>
      <c r="T22" s="138">
        <f>VLOOKUP($H22,'Material impact data'!$E$19:$AM$61,'Material impact data'!T$15,0)/VLOOKUP($H22,'Material impact data'!$E$19:$AM$61,4,0)*$I22</f>
        <v>0</v>
      </c>
      <c r="U22" s="138">
        <f>VLOOKUP($H22,'Material impact data'!$E$19:$AM$61,'Material impact data'!U$15,0)/VLOOKUP($H22,'Material impact data'!$E$19:$AM$61,4,0)*$I22</f>
        <v>0</v>
      </c>
      <c r="V22" s="138">
        <f>VLOOKUP($H22,'Material impact data'!$E$19:$AM$61,'Material impact data'!V$15,0)/VLOOKUP($H22,'Material impact data'!$E$19:$AM$61,4,0)*$I22</f>
        <v>0</v>
      </c>
      <c r="W22" s="138">
        <f>VLOOKUP($H22,'Material impact data'!$E$19:$AM$61,'Material impact data'!W$15,0)/VLOOKUP($H22,'Material impact data'!$E$19:$AM$61,4,0)*$I22</f>
        <v>0</v>
      </c>
      <c r="X22" s="138">
        <f>VLOOKUP($H22,'Material impact data'!$E$19:$AM$61,'Material impact data'!X$15,0)/VLOOKUP($H22,'Material impact data'!$E$19:$AM$61,4,0)*$I22</f>
        <v>0</v>
      </c>
      <c r="Y22" s="138">
        <f>VLOOKUP($H22,'Material impact data'!$E$19:$AM$61,'Material impact data'!Y$15,0)/VLOOKUP($H22,'Material impact data'!$E$19:$AM$61,4,0)*$I22</f>
        <v>0</v>
      </c>
      <c r="Z22" s="180">
        <f>VLOOKUP($H22,'Material impact data'!$E$19:$AM$61,'Material impact data'!Z$15,0)/VLOOKUP($H22,'Material impact data'!$E$19:$AM$61,4,0)*$I22</f>
        <v>0</v>
      </c>
      <c r="AA22" s="180">
        <f>VLOOKUP($H22,'Material impact data'!$E$19:$AM$61,'Material impact data'!AA$15,0)/VLOOKUP($H22,'Material impact data'!$E$19:$AM$61,4,0)*$I22</f>
        <v>0</v>
      </c>
      <c r="AB22" s="180">
        <f>VLOOKUP($H22,'Material impact data'!$E$19:$AM$61,'Material impact data'!AB$15,0)/VLOOKUP($H22,'Material impact data'!$E$19:$AM$61,4,0)*$I22</f>
        <v>0</v>
      </c>
      <c r="AC22" s="180">
        <f>VLOOKUP($H22,'Material impact data'!$E$19:$AM$61,'Material impact data'!AC$15,0)/VLOOKUP($H22,'Material impact data'!$E$19:$AM$61,4,0)*$I22</f>
        <v>0</v>
      </c>
      <c r="AD22" s="180">
        <f>VLOOKUP($H22,'Material impact data'!$E$19:$AM$61,'Material impact data'!AD$15,0)/VLOOKUP($H22,'Material impact data'!$E$19:$AM$61,4,0)*$I22</f>
        <v>0</v>
      </c>
      <c r="AE22" s="180">
        <f>VLOOKUP($H22,'Material impact data'!$E$19:$AM$61,'Material impact data'!AE$15,0)/VLOOKUP($H22,'Material impact data'!$E$19:$AM$61,4,0)*$I22</f>
        <v>0</v>
      </c>
      <c r="AF22" s="180">
        <f>VLOOKUP($H22,'Material impact data'!$E$19:$AM$61,'Material impact data'!AF$15,0)/VLOOKUP($H22,'Material impact data'!$E$19:$AM$61,4,0)*$I22</f>
        <v>0</v>
      </c>
      <c r="AG22" s="179">
        <f>VLOOKUP($H22,'Material impact data'!$E$19:$AM$61,'Material impact data'!AG$15,0)/VLOOKUP($H22,'Material impact data'!$E$19:$AM$61,4,0)*$I22</f>
        <v>0</v>
      </c>
      <c r="AH22" s="179">
        <f>VLOOKUP($H22,'Material impact data'!$E$19:$AM$61,'Material impact data'!AH$15,0)/VLOOKUP($H22,'Material impact data'!$E$19:$AM$61,4,0)*$I22</f>
        <v>0</v>
      </c>
      <c r="AI22" s="179">
        <f>VLOOKUP($H22,'Material impact data'!$E$19:$AM$61,'Material impact data'!AI$15,0)/VLOOKUP($H22,'Material impact data'!$E$19:$AM$61,4,0)*$I22</f>
        <v>0</v>
      </c>
      <c r="AJ22" s="179">
        <f>VLOOKUP($H22,'Material impact data'!$E$19:$AM$61,'Material impact data'!AJ$15,0)/VLOOKUP($H22,'Material impact data'!$E$19:$AM$61,4,0)*$I22</f>
        <v>0</v>
      </c>
      <c r="AK22" s="179">
        <f>VLOOKUP($H22,'Material impact data'!$E$19:$AM$61,'Material impact data'!AK$15,0)/VLOOKUP($H22,'Material impact data'!$E$19:$AM$61,4,0)*$I22</f>
        <v>0</v>
      </c>
      <c r="AL22" s="179">
        <f>VLOOKUP($H22,'Material impact data'!$E$19:$AM$61,'Material impact data'!AL$15,0)/VLOOKUP($H22,'Material impact data'!$E$19:$AM$61,4,0)*$I22</f>
        <v>0</v>
      </c>
      <c r="AM22" s="179">
        <f>VLOOKUP($H22,'Material impact data'!$E$19:$AM$61,'Material impact data'!AM$15,0)/VLOOKUP($H22,'Material impact data'!$E$19:$AM$61,4,0)*$I22</f>
        <v>0</v>
      </c>
      <c r="AO22" s="187">
        <f>M22/'Building &amp; Material inputs'!$C$18/'Building &amp; Material inputs'!$C$19</f>
        <v>0</v>
      </c>
      <c r="AP22" s="187">
        <f>N22/'Building &amp; Material inputs'!$C$18/'Building &amp; Material inputs'!$C$19</f>
        <v>0</v>
      </c>
      <c r="AQ22" s="139">
        <f>O22/'Building &amp; Material inputs'!$C$18/'Building &amp; Material inputs'!$C$19</f>
        <v>0</v>
      </c>
      <c r="AR22" s="139">
        <f>P22/'Building &amp; Material inputs'!$C$18/'Building &amp; Material inputs'!$C$19</f>
        <v>0</v>
      </c>
      <c r="AS22" s="170">
        <f>Q22/'Building &amp; Material inputs'!$C$18/'Building &amp; Material inputs'!$C$19</f>
        <v>0</v>
      </c>
      <c r="AT22" s="170">
        <f>R22/'Building &amp; Material inputs'!$C$18/'Building &amp; Material inputs'!$C$19</f>
        <v>0</v>
      </c>
      <c r="AU22" s="187">
        <f>S22/'Building &amp; Material inputs'!$C$18/'Building &amp; Material inputs'!$C$19</f>
        <v>0</v>
      </c>
      <c r="AV22" s="187">
        <f>T22/'Building &amp; Material inputs'!$C$18/'Building &amp; Material inputs'!$C$19</f>
        <v>0</v>
      </c>
      <c r="AW22" s="187">
        <f>U22/'Building &amp; Material inputs'!$C$18/'Building &amp; Material inputs'!$C$19</f>
        <v>0</v>
      </c>
      <c r="AX22" s="187">
        <f>V22/'Building &amp; Material inputs'!$C$18/'Building &amp; Material inputs'!$C$19</f>
        <v>0</v>
      </c>
      <c r="AY22" s="187">
        <f>W22/'Building &amp; Material inputs'!$C$18/'Building &amp; Material inputs'!$C$19</f>
        <v>0</v>
      </c>
      <c r="AZ22" s="187">
        <f>X22/'Building &amp; Material inputs'!$C$18/'Building &amp; Material inputs'!$C$19</f>
        <v>0</v>
      </c>
      <c r="BA22" s="187">
        <f>Y22/'Building &amp; Material inputs'!$C$18/'Building &amp; Material inputs'!$C$19</f>
        <v>0</v>
      </c>
      <c r="BB22" s="139">
        <f>Z22/'Building &amp; Material inputs'!$C$18/'Building &amp; Material inputs'!$C$19</f>
        <v>0</v>
      </c>
      <c r="BC22" s="139">
        <f>AA22/'Building &amp; Material inputs'!$C$18/'Building &amp; Material inputs'!$C$19</f>
        <v>0</v>
      </c>
      <c r="BD22" s="139">
        <f>AB22/'Building &amp; Material inputs'!$C$18/'Building &amp; Material inputs'!$C$19</f>
        <v>0</v>
      </c>
      <c r="BE22" s="139">
        <f>AC22/'Building &amp; Material inputs'!$C$18/'Building &amp; Material inputs'!$C$19</f>
        <v>0</v>
      </c>
      <c r="BF22" s="139">
        <f>AD22/'Building &amp; Material inputs'!$C$18/'Building &amp; Material inputs'!$C$19</f>
        <v>0</v>
      </c>
      <c r="BG22" s="139">
        <f>AE22/'Building &amp; Material inputs'!$C$18/'Building &amp; Material inputs'!$C$19</f>
        <v>0</v>
      </c>
      <c r="BH22" s="139">
        <f>AF22/'Building &amp; Material inputs'!$C$18/'Building &amp; Material inputs'!$C$19</f>
        <v>0</v>
      </c>
      <c r="BI22" s="170">
        <f>AG22/'Building &amp; Material inputs'!$C$18/'Building &amp; Material inputs'!$C$19</f>
        <v>0</v>
      </c>
      <c r="BJ22" s="170">
        <f>AH22/'Building &amp; Material inputs'!$C$18/'Building &amp; Material inputs'!$C$19</f>
        <v>0</v>
      </c>
      <c r="BK22" s="170">
        <f>AI22/'Building &amp; Material inputs'!$C$18/'Building &amp; Material inputs'!$C$19</f>
        <v>0</v>
      </c>
      <c r="BL22" s="170">
        <f>AJ22/'Building &amp; Material inputs'!$C$18/'Building &amp; Material inputs'!$C$19</f>
        <v>0</v>
      </c>
      <c r="BM22" s="170">
        <f>AK22/'Building &amp; Material inputs'!$C$18/'Building &amp; Material inputs'!$C$19</f>
        <v>0</v>
      </c>
      <c r="BN22" s="170">
        <f>AL22/'Building &amp; Material inputs'!$C$18/'Building &amp; Material inputs'!$C$19</f>
        <v>0</v>
      </c>
      <c r="BO22" s="170">
        <f>AM22/'Building &amp; Material inputs'!$C$18/'Building &amp; Material inputs'!$C$19</f>
        <v>0</v>
      </c>
    </row>
    <row r="23" spans="2:67" x14ac:dyDescent="0.25">
      <c r="B23" s="334"/>
      <c r="C23" s="331"/>
      <c r="D23" s="330" t="s">
        <v>75</v>
      </c>
      <c r="E23" s="330" t="s">
        <v>76</v>
      </c>
      <c r="F23" s="15" t="s">
        <v>79</v>
      </c>
      <c r="G23" s="7" t="s">
        <v>19</v>
      </c>
      <c r="H23" s="7" t="str">
        <f>'Material quantities'!G24</f>
        <v>CON1</v>
      </c>
      <c r="I23" s="38">
        <f>'Material quantities'!O24</f>
        <v>0</v>
      </c>
      <c r="J23" s="42" t="s">
        <v>14</v>
      </c>
      <c r="K23" s="2"/>
      <c r="L23" s="143">
        <f>VLOOKUP($H23,'Material impact data'!$E$19:$AM$61,6,0)/VLOOKUP($H23,'Material impact data'!$E$19:$AM$61,4,0)*$I23</f>
        <v>0</v>
      </c>
      <c r="M23" s="138">
        <f>VLOOKUP($H23,'Material impact data'!$E$19:$AM$61,'Material impact data'!M$15,0)/VLOOKUP($H23,'Material impact data'!$E$19:$AM$61,4,0)*$I23</f>
        <v>0</v>
      </c>
      <c r="N23" s="138">
        <f>VLOOKUP($H23,'Material impact data'!$E$19:$AM$61,'Material impact data'!N$15,0)/VLOOKUP($H23,'Material impact data'!$E$19:$AM$61,4,0)*$I23</f>
        <v>0</v>
      </c>
      <c r="O23" s="180">
        <f>VLOOKUP($H23,'Material impact data'!$E$19:$AM$61,'Material impact data'!O$15,0)/VLOOKUP($H23,'Material impact data'!$E$19:$AM$61,4,0)*$I23</f>
        <v>0</v>
      </c>
      <c r="P23" s="180">
        <f>VLOOKUP($H23,'Material impact data'!$E$19:$AM$61,'Material impact data'!P$15,0)/VLOOKUP($H23,'Material impact data'!$E$19:$AM$61,4,0)*$I23</f>
        <v>0</v>
      </c>
      <c r="Q23" s="179">
        <f>VLOOKUP($H23,'Material impact data'!$E$19:$AM$61,'Material impact data'!Q$15,0)/VLOOKUP($H23,'Material impact data'!$E$19:$AM$61,4,0)*$I23</f>
        <v>0</v>
      </c>
      <c r="R23" s="179">
        <f>VLOOKUP($H23,'Material impact data'!$E$19:$AM$61,'Material impact data'!R$15,0)/VLOOKUP($H23,'Material impact data'!$E$19:$AM$61,4,0)*$I23</f>
        <v>0</v>
      </c>
      <c r="S23" s="138">
        <f>VLOOKUP($H23,'Material impact data'!$E$19:$AM$61,'Material impact data'!S$15,0)/VLOOKUP($H23,'Material impact data'!$E$19:$AM$61,4,0)*$I23</f>
        <v>0</v>
      </c>
      <c r="T23" s="138">
        <f>VLOOKUP($H23,'Material impact data'!$E$19:$AM$61,'Material impact data'!T$15,0)/VLOOKUP($H23,'Material impact data'!$E$19:$AM$61,4,0)*$I23</f>
        <v>0</v>
      </c>
      <c r="U23" s="138">
        <f>VLOOKUP($H23,'Material impact data'!$E$19:$AM$61,'Material impact data'!U$15,0)/VLOOKUP($H23,'Material impact data'!$E$19:$AM$61,4,0)*$I23</f>
        <v>0</v>
      </c>
      <c r="V23" s="138">
        <f>VLOOKUP($H23,'Material impact data'!$E$19:$AM$61,'Material impact data'!V$15,0)/VLOOKUP($H23,'Material impact data'!$E$19:$AM$61,4,0)*$I23</f>
        <v>0</v>
      </c>
      <c r="W23" s="138">
        <f>VLOOKUP($H23,'Material impact data'!$E$19:$AM$61,'Material impact data'!W$15,0)/VLOOKUP($H23,'Material impact data'!$E$19:$AM$61,4,0)*$I23</f>
        <v>0</v>
      </c>
      <c r="X23" s="138">
        <f>VLOOKUP($H23,'Material impact data'!$E$19:$AM$61,'Material impact data'!X$15,0)/VLOOKUP($H23,'Material impact data'!$E$19:$AM$61,4,0)*$I23</f>
        <v>0</v>
      </c>
      <c r="Y23" s="138">
        <f>VLOOKUP($H23,'Material impact data'!$E$19:$AM$61,'Material impact data'!Y$15,0)/VLOOKUP($H23,'Material impact data'!$E$19:$AM$61,4,0)*$I23</f>
        <v>0</v>
      </c>
      <c r="Z23" s="180">
        <f>VLOOKUP($H23,'Material impact data'!$E$19:$AM$61,'Material impact data'!Z$15,0)/VLOOKUP($H23,'Material impact data'!$E$19:$AM$61,4,0)*$I23</f>
        <v>0</v>
      </c>
      <c r="AA23" s="180">
        <f>VLOOKUP($H23,'Material impact data'!$E$19:$AM$61,'Material impact data'!AA$15,0)/VLOOKUP($H23,'Material impact data'!$E$19:$AM$61,4,0)*$I23</f>
        <v>0</v>
      </c>
      <c r="AB23" s="180">
        <f>VLOOKUP($H23,'Material impact data'!$E$19:$AM$61,'Material impact data'!AB$15,0)/VLOOKUP($H23,'Material impact data'!$E$19:$AM$61,4,0)*$I23</f>
        <v>0</v>
      </c>
      <c r="AC23" s="180">
        <f>VLOOKUP($H23,'Material impact data'!$E$19:$AM$61,'Material impact data'!AC$15,0)/VLOOKUP($H23,'Material impact data'!$E$19:$AM$61,4,0)*$I23</f>
        <v>0</v>
      </c>
      <c r="AD23" s="180">
        <f>VLOOKUP($H23,'Material impact data'!$E$19:$AM$61,'Material impact data'!AD$15,0)/VLOOKUP($H23,'Material impact data'!$E$19:$AM$61,4,0)*$I23</f>
        <v>0</v>
      </c>
      <c r="AE23" s="180">
        <f>VLOOKUP($H23,'Material impact data'!$E$19:$AM$61,'Material impact data'!AE$15,0)/VLOOKUP($H23,'Material impact data'!$E$19:$AM$61,4,0)*$I23</f>
        <v>0</v>
      </c>
      <c r="AF23" s="180">
        <f>VLOOKUP($H23,'Material impact data'!$E$19:$AM$61,'Material impact data'!AF$15,0)/VLOOKUP($H23,'Material impact data'!$E$19:$AM$61,4,0)*$I23</f>
        <v>0</v>
      </c>
      <c r="AG23" s="179">
        <f>VLOOKUP($H23,'Material impact data'!$E$19:$AM$61,'Material impact data'!AG$15,0)/VLOOKUP($H23,'Material impact data'!$E$19:$AM$61,4,0)*$I23</f>
        <v>0</v>
      </c>
      <c r="AH23" s="179">
        <f>VLOOKUP($H23,'Material impact data'!$E$19:$AM$61,'Material impact data'!AH$15,0)/VLOOKUP($H23,'Material impact data'!$E$19:$AM$61,4,0)*$I23</f>
        <v>0</v>
      </c>
      <c r="AI23" s="179">
        <f>VLOOKUP($H23,'Material impact data'!$E$19:$AM$61,'Material impact data'!AI$15,0)/VLOOKUP($H23,'Material impact data'!$E$19:$AM$61,4,0)*$I23</f>
        <v>0</v>
      </c>
      <c r="AJ23" s="179">
        <f>VLOOKUP($H23,'Material impact data'!$E$19:$AM$61,'Material impact data'!AJ$15,0)/VLOOKUP($H23,'Material impact data'!$E$19:$AM$61,4,0)*$I23</f>
        <v>0</v>
      </c>
      <c r="AK23" s="179">
        <f>VLOOKUP($H23,'Material impact data'!$E$19:$AM$61,'Material impact data'!AK$15,0)/VLOOKUP($H23,'Material impact data'!$E$19:$AM$61,4,0)*$I23</f>
        <v>0</v>
      </c>
      <c r="AL23" s="179">
        <f>VLOOKUP($H23,'Material impact data'!$E$19:$AM$61,'Material impact data'!AL$15,0)/VLOOKUP($H23,'Material impact data'!$E$19:$AM$61,4,0)*$I23</f>
        <v>0</v>
      </c>
      <c r="AM23" s="179">
        <f>VLOOKUP($H23,'Material impact data'!$E$19:$AM$61,'Material impact data'!AM$15,0)/VLOOKUP($H23,'Material impact data'!$E$19:$AM$61,4,0)*$I23</f>
        <v>0</v>
      </c>
      <c r="AO23" s="187">
        <f>M23/'Building &amp; Material inputs'!$C$18/'Building &amp; Material inputs'!$C$19</f>
        <v>0</v>
      </c>
      <c r="AP23" s="187">
        <f>N23/'Building &amp; Material inputs'!$C$18/'Building &amp; Material inputs'!$C$19</f>
        <v>0</v>
      </c>
      <c r="AQ23" s="139">
        <f>O23/'Building &amp; Material inputs'!$C$18/'Building &amp; Material inputs'!$C$19</f>
        <v>0</v>
      </c>
      <c r="AR23" s="139">
        <f>P23/'Building &amp; Material inputs'!$C$18/'Building &amp; Material inputs'!$C$19</f>
        <v>0</v>
      </c>
      <c r="AS23" s="170">
        <f>Q23/'Building &amp; Material inputs'!$C$18/'Building &amp; Material inputs'!$C$19</f>
        <v>0</v>
      </c>
      <c r="AT23" s="170">
        <f>R23/'Building &amp; Material inputs'!$C$18/'Building &amp; Material inputs'!$C$19</f>
        <v>0</v>
      </c>
      <c r="AU23" s="187">
        <f>S23/'Building &amp; Material inputs'!$C$18/'Building &amp; Material inputs'!$C$19</f>
        <v>0</v>
      </c>
      <c r="AV23" s="187">
        <f>T23/'Building &amp; Material inputs'!$C$18/'Building &amp; Material inputs'!$C$19</f>
        <v>0</v>
      </c>
      <c r="AW23" s="187">
        <f>U23/'Building &amp; Material inputs'!$C$18/'Building &amp; Material inputs'!$C$19</f>
        <v>0</v>
      </c>
      <c r="AX23" s="187">
        <f>V23/'Building &amp; Material inputs'!$C$18/'Building &amp; Material inputs'!$C$19</f>
        <v>0</v>
      </c>
      <c r="AY23" s="187">
        <f>W23/'Building &amp; Material inputs'!$C$18/'Building &amp; Material inputs'!$C$19</f>
        <v>0</v>
      </c>
      <c r="AZ23" s="187">
        <f>X23/'Building &amp; Material inputs'!$C$18/'Building &amp; Material inputs'!$C$19</f>
        <v>0</v>
      </c>
      <c r="BA23" s="187">
        <f>Y23/'Building &amp; Material inputs'!$C$18/'Building &amp; Material inputs'!$C$19</f>
        <v>0</v>
      </c>
      <c r="BB23" s="139">
        <f>Z23/'Building &amp; Material inputs'!$C$18/'Building &amp; Material inputs'!$C$19</f>
        <v>0</v>
      </c>
      <c r="BC23" s="139">
        <f>AA23/'Building &amp; Material inputs'!$C$18/'Building &amp; Material inputs'!$C$19</f>
        <v>0</v>
      </c>
      <c r="BD23" s="139">
        <f>AB23/'Building &amp; Material inputs'!$C$18/'Building &amp; Material inputs'!$C$19</f>
        <v>0</v>
      </c>
      <c r="BE23" s="139">
        <f>AC23/'Building &amp; Material inputs'!$C$18/'Building &amp; Material inputs'!$C$19</f>
        <v>0</v>
      </c>
      <c r="BF23" s="139">
        <f>AD23/'Building &amp; Material inputs'!$C$18/'Building &amp; Material inputs'!$C$19</f>
        <v>0</v>
      </c>
      <c r="BG23" s="139">
        <f>AE23/'Building &amp; Material inputs'!$C$18/'Building &amp; Material inputs'!$C$19</f>
        <v>0</v>
      </c>
      <c r="BH23" s="139">
        <f>AF23/'Building &amp; Material inputs'!$C$18/'Building &amp; Material inputs'!$C$19</f>
        <v>0</v>
      </c>
      <c r="BI23" s="170">
        <f>AG23/'Building &amp; Material inputs'!$C$18/'Building &amp; Material inputs'!$C$19</f>
        <v>0</v>
      </c>
      <c r="BJ23" s="170">
        <f>AH23/'Building &amp; Material inputs'!$C$18/'Building &amp; Material inputs'!$C$19</f>
        <v>0</v>
      </c>
      <c r="BK23" s="170">
        <f>AI23/'Building &amp; Material inputs'!$C$18/'Building &amp; Material inputs'!$C$19</f>
        <v>0</v>
      </c>
      <c r="BL23" s="170">
        <f>AJ23/'Building &amp; Material inputs'!$C$18/'Building &amp; Material inputs'!$C$19</f>
        <v>0</v>
      </c>
      <c r="BM23" s="170">
        <f>AK23/'Building &amp; Material inputs'!$C$18/'Building &amp; Material inputs'!$C$19</f>
        <v>0</v>
      </c>
      <c r="BN23" s="170">
        <f>AL23/'Building &amp; Material inputs'!$C$18/'Building &amp; Material inputs'!$C$19</f>
        <v>0</v>
      </c>
      <c r="BO23" s="170">
        <f>AM23/'Building &amp; Material inputs'!$C$18/'Building &amp; Material inputs'!$C$19</f>
        <v>0</v>
      </c>
    </row>
    <row r="24" spans="2:67" x14ac:dyDescent="0.25">
      <c r="B24" s="334"/>
      <c r="C24" s="331"/>
      <c r="D24" s="331"/>
      <c r="E24" s="331"/>
      <c r="F24" s="15" t="s">
        <v>81</v>
      </c>
      <c r="G24" s="7" t="s">
        <v>20</v>
      </c>
      <c r="H24" s="7" t="str">
        <f>'Material quantities'!G25</f>
        <v>REB</v>
      </c>
      <c r="I24" s="38">
        <f>'Material quantities'!O25</f>
        <v>0</v>
      </c>
      <c r="J24" s="42" t="s">
        <v>15</v>
      </c>
      <c r="K24" s="2"/>
      <c r="L24" s="143">
        <f>VLOOKUP($H24,'Material impact data'!$E$19:$AM$61,6,0)/VLOOKUP($H24,'Material impact data'!$E$19:$AM$61,4,0)*$I24</f>
        <v>0</v>
      </c>
      <c r="M24" s="138">
        <f>VLOOKUP($H24,'Material impact data'!$E$19:$AM$61,'Material impact data'!M$15,0)/VLOOKUP($H24,'Material impact data'!$E$19:$AM$61,4,0)*$I24</f>
        <v>0</v>
      </c>
      <c r="N24" s="138">
        <f>VLOOKUP($H24,'Material impact data'!$E$19:$AM$61,'Material impact data'!N$15,0)/VLOOKUP($H24,'Material impact data'!$E$19:$AM$61,4,0)*$I24</f>
        <v>0</v>
      </c>
      <c r="O24" s="180">
        <f>VLOOKUP($H24,'Material impact data'!$E$19:$AM$61,'Material impact data'!O$15,0)/VLOOKUP($H24,'Material impact data'!$E$19:$AM$61,4,0)*$I24</f>
        <v>0</v>
      </c>
      <c r="P24" s="180">
        <f>VLOOKUP($H24,'Material impact data'!$E$19:$AM$61,'Material impact data'!P$15,0)/VLOOKUP($H24,'Material impact data'!$E$19:$AM$61,4,0)*$I24</f>
        <v>0</v>
      </c>
      <c r="Q24" s="179">
        <f>VLOOKUP($H24,'Material impact data'!$E$19:$AM$61,'Material impact data'!Q$15,0)/VLOOKUP($H24,'Material impact data'!$E$19:$AM$61,4,0)*$I24</f>
        <v>0</v>
      </c>
      <c r="R24" s="179">
        <f>VLOOKUP($H24,'Material impact data'!$E$19:$AM$61,'Material impact data'!R$15,0)/VLOOKUP($H24,'Material impact data'!$E$19:$AM$61,4,0)*$I24</f>
        <v>0</v>
      </c>
      <c r="S24" s="138">
        <f>VLOOKUP($H24,'Material impact data'!$E$19:$AM$61,'Material impact data'!S$15,0)/VLOOKUP($H24,'Material impact data'!$E$19:$AM$61,4,0)*$I24</f>
        <v>0</v>
      </c>
      <c r="T24" s="138">
        <f>VLOOKUP($H24,'Material impact data'!$E$19:$AM$61,'Material impact data'!T$15,0)/VLOOKUP($H24,'Material impact data'!$E$19:$AM$61,4,0)*$I24</f>
        <v>0</v>
      </c>
      <c r="U24" s="138">
        <f>VLOOKUP($H24,'Material impact data'!$E$19:$AM$61,'Material impact data'!U$15,0)/VLOOKUP($H24,'Material impact data'!$E$19:$AM$61,4,0)*$I24</f>
        <v>0</v>
      </c>
      <c r="V24" s="138">
        <f>VLOOKUP($H24,'Material impact data'!$E$19:$AM$61,'Material impact data'!V$15,0)/VLOOKUP($H24,'Material impact data'!$E$19:$AM$61,4,0)*$I24</f>
        <v>0</v>
      </c>
      <c r="W24" s="138">
        <f>VLOOKUP($H24,'Material impact data'!$E$19:$AM$61,'Material impact data'!W$15,0)/VLOOKUP($H24,'Material impact data'!$E$19:$AM$61,4,0)*$I24</f>
        <v>0</v>
      </c>
      <c r="X24" s="138">
        <f>VLOOKUP($H24,'Material impact data'!$E$19:$AM$61,'Material impact data'!X$15,0)/VLOOKUP($H24,'Material impact data'!$E$19:$AM$61,4,0)*$I24</f>
        <v>0</v>
      </c>
      <c r="Y24" s="138">
        <f>VLOOKUP($H24,'Material impact data'!$E$19:$AM$61,'Material impact data'!Y$15,0)/VLOOKUP($H24,'Material impact data'!$E$19:$AM$61,4,0)*$I24</f>
        <v>0</v>
      </c>
      <c r="Z24" s="180">
        <f>VLOOKUP($H24,'Material impact data'!$E$19:$AM$61,'Material impact data'!Z$15,0)/VLOOKUP($H24,'Material impact data'!$E$19:$AM$61,4,0)*$I24</f>
        <v>0</v>
      </c>
      <c r="AA24" s="180">
        <f>VLOOKUP($H24,'Material impact data'!$E$19:$AM$61,'Material impact data'!AA$15,0)/VLOOKUP($H24,'Material impact data'!$E$19:$AM$61,4,0)*$I24</f>
        <v>0</v>
      </c>
      <c r="AB24" s="180">
        <f>VLOOKUP($H24,'Material impact data'!$E$19:$AM$61,'Material impact data'!AB$15,0)/VLOOKUP($H24,'Material impact data'!$E$19:$AM$61,4,0)*$I24</f>
        <v>0</v>
      </c>
      <c r="AC24" s="180">
        <f>VLOOKUP($H24,'Material impact data'!$E$19:$AM$61,'Material impact data'!AC$15,0)/VLOOKUP($H24,'Material impact data'!$E$19:$AM$61,4,0)*$I24</f>
        <v>0</v>
      </c>
      <c r="AD24" s="180">
        <f>VLOOKUP($H24,'Material impact data'!$E$19:$AM$61,'Material impact data'!AD$15,0)/VLOOKUP($H24,'Material impact data'!$E$19:$AM$61,4,0)*$I24</f>
        <v>0</v>
      </c>
      <c r="AE24" s="180">
        <f>VLOOKUP($H24,'Material impact data'!$E$19:$AM$61,'Material impact data'!AE$15,0)/VLOOKUP($H24,'Material impact data'!$E$19:$AM$61,4,0)*$I24</f>
        <v>0</v>
      </c>
      <c r="AF24" s="180">
        <f>VLOOKUP($H24,'Material impact data'!$E$19:$AM$61,'Material impact data'!AF$15,0)/VLOOKUP($H24,'Material impact data'!$E$19:$AM$61,4,0)*$I24</f>
        <v>0</v>
      </c>
      <c r="AG24" s="179">
        <f>VLOOKUP($H24,'Material impact data'!$E$19:$AM$61,'Material impact data'!AG$15,0)/VLOOKUP($H24,'Material impact data'!$E$19:$AM$61,4,0)*$I24</f>
        <v>0</v>
      </c>
      <c r="AH24" s="179">
        <f>VLOOKUP($H24,'Material impact data'!$E$19:$AM$61,'Material impact data'!AH$15,0)/VLOOKUP($H24,'Material impact data'!$E$19:$AM$61,4,0)*$I24</f>
        <v>0</v>
      </c>
      <c r="AI24" s="179">
        <f>VLOOKUP($H24,'Material impact data'!$E$19:$AM$61,'Material impact data'!AI$15,0)/VLOOKUP($H24,'Material impact data'!$E$19:$AM$61,4,0)*$I24</f>
        <v>0</v>
      </c>
      <c r="AJ24" s="179">
        <f>VLOOKUP($H24,'Material impact data'!$E$19:$AM$61,'Material impact data'!AJ$15,0)/VLOOKUP($H24,'Material impact data'!$E$19:$AM$61,4,0)*$I24</f>
        <v>0</v>
      </c>
      <c r="AK24" s="179">
        <f>VLOOKUP($H24,'Material impact data'!$E$19:$AM$61,'Material impact data'!AK$15,0)/VLOOKUP($H24,'Material impact data'!$E$19:$AM$61,4,0)*$I24</f>
        <v>0</v>
      </c>
      <c r="AL24" s="179">
        <f>VLOOKUP($H24,'Material impact data'!$E$19:$AM$61,'Material impact data'!AL$15,0)/VLOOKUP($H24,'Material impact data'!$E$19:$AM$61,4,0)*$I24</f>
        <v>0</v>
      </c>
      <c r="AM24" s="179">
        <f>VLOOKUP($H24,'Material impact data'!$E$19:$AM$61,'Material impact data'!AM$15,0)/VLOOKUP($H24,'Material impact data'!$E$19:$AM$61,4,0)*$I24</f>
        <v>0</v>
      </c>
      <c r="AO24" s="187">
        <f>M24/'Building &amp; Material inputs'!$C$18/'Building &amp; Material inputs'!$C$19</f>
        <v>0</v>
      </c>
      <c r="AP24" s="187">
        <f>N24/'Building &amp; Material inputs'!$C$18/'Building &amp; Material inputs'!$C$19</f>
        <v>0</v>
      </c>
      <c r="AQ24" s="139">
        <f>O24/'Building &amp; Material inputs'!$C$18/'Building &amp; Material inputs'!$C$19</f>
        <v>0</v>
      </c>
      <c r="AR24" s="139">
        <f>P24/'Building &amp; Material inputs'!$C$18/'Building &amp; Material inputs'!$C$19</f>
        <v>0</v>
      </c>
      <c r="AS24" s="170">
        <f>Q24/'Building &amp; Material inputs'!$C$18/'Building &amp; Material inputs'!$C$19</f>
        <v>0</v>
      </c>
      <c r="AT24" s="170">
        <f>R24/'Building &amp; Material inputs'!$C$18/'Building &amp; Material inputs'!$C$19</f>
        <v>0</v>
      </c>
      <c r="AU24" s="187">
        <f>S24/'Building &amp; Material inputs'!$C$18/'Building &amp; Material inputs'!$C$19</f>
        <v>0</v>
      </c>
      <c r="AV24" s="187">
        <f>T24/'Building &amp; Material inputs'!$C$18/'Building &amp; Material inputs'!$C$19</f>
        <v>0</v>
      </c>
      <c r="AW24" s="187">
        <f>U24/'Building &amp; Material inputs'!$C$18/'Building &amp; Material inputs'!$C$19</f>
        <v>0</v>
      </c>
      <c r="AX24" s="187">
        <f>V24/'Building &amp; Material inputs'!$C$18/'Building &amp; Material inputs'!$C$19</f>
        <v>0</v>
      </c>
      <c r="AY24" s="187">
        <f>W24/'Building &amp; Material inputs'!$C$18/'Building &amp; Material inputs'!$C$19</f>
        <v>0</v>
      </c>
      <c r="AZ24" s="187">
        <f>X24/'Building &amp; Material inputs'!$C$18/'Building &amp; Material inputs'!$C$19</f>
        <v>0</v>
      </c>
      <c r="BA24" s="187">
        <f>Y24/'Building &amp; Material inputs'!$C$18/'Building &amp; Material inputs'!$C$19</f>
        <v>0</v>
      </c>
      <c r="BB24" s="139">
        <f>Z24/'Building &amp; Material inputs'!$C$18/'Building &amp; Material inputs'!$C$19</f>
        <v>0</v>
      </c>
      <c r="BC24" s="139">
        <f>AA24/'Building &amp; Material inputs'!$C$18/'Building &amp; Material inputs'!$C$19</f>
        <v>0</v>
      </c>
      <c r="BD24" s="139">
        <f>AB24/'Building &amp; Material inputs'!$C$18/'Building &amp; Material inputs'!$C$19</f>
        <v>0</v>
      </c>
      <c r="BE24" s="139">
        <f>AC24/'Building &amp; Material inputs'!$C$18/'Building &amp; Material inputs'!$C$19</f>
        <v>0</v>
      </c>
      <c r="BF24" s="139">
        <f>AD24/'Building &amp; Material inputs'!$C$18/'Building &amp; Material inputs'!$C$19</f>
        <v>0</v>
      </c>
      <c r="BG24" s="139">
        <f>AE24/'Building &amp; Material inputs'!$C$18/'Building &amp; Material inputs'!$C$19</f>
        <v>0</v>
      </c>
      <c r="BH24" s="139">
        <f>AF24/'Building &amp; Material inputs'!$C$18/'Building &amp; Material inputs'!$C$19</f>
        <v>0</v>
      </c>
      <c r="BI24" s="170">
        <f>AG24/'Building &amp; Material inputs'!$C$18/'Building &amp; Material inputs'!$C$19</f>
        <v>0</v>
      </c>
      <c r="BJ24" s="170">
        <f>AH24/'Building &amp; Material inputs'!$C$18/'Building &amp; Material inputs'!$C$19</f>
        <v>0</v>
      </c>
      <c r="BK24" s="170">
        <f>AI24/'Building &amp; Material inputs'!$C$18/'Building &amp; Material inputs'!$C$19</f>
        <v>0</v>
      </c>
      <c r="BL24" s="170">
        <f>AJ24/'Building &amp; Material inputs'!$C$18/'Building &amp; Material inputs'!$C$19</f>
        <v>0</v>
      </c>
      <c r="BM24" s="170">
        <f>AK24/'Building &amp; Material inputs'!$C$18/'Building &amp; Material inputs'!$C$19</f>
        <v>0</v>
      </c>
      <c r="BN24" s="170">
        <f>AL24/'Building &amp; Material inputs'!$C$18/'Building &amp; Material inputs'!$C$19</f>
        <v>0</v>
      </c>
      <c r="BO24" s="170">
        <f>AM24/'Building &amp; Material inputs'!$C$18/'Building &amp; Material inputs'!$C$19</f>
        <v>0</v>
      </c>
    </row>
    <row r="25" spans="2:67" x14ac:dyDescent="0.25">
      <c r="B25" s="334"/>
      <c r="C25" s="331"/>
      <c r="D25" s="331"/>
      <c r="E25" s="332"/>
      <c r="F25" s="15" t="s">
        <v>446</v>
      </c>
      <c r="G25" s="7" t="s">
        <v>447</v>
      </c>
      <c r="H25" s="7" t="str">
        <f>'Material quantities'!G26</f>
        <v>CON0</v>
      </c>
      <c r="I25" s="38">
        <f>'Material quantities'!O26</f>
        <v>0</v>
      </c>
      <c r="J25" s="42" t="s">
        <v>14</v>
      </c>
      <c r="K25" s="2"/>
      <c r="L25" s="143">
        <f>VLOOKUP($H25,'Material impact data'!$E$19:$AM$61,6,0)/VLOOKUP($H25,'Material impact data'!$E$19:$AM$61,4,0)*$I25</f>
        <v>0</v>
      </c>
      <c r="M25" s="138">
        <f>VLOOKUP($H25,'Material impact data'!$E$19:$AM$61,'Material impact data'!M$15,0)/VLOOKUP($H25,'Material impact data'!$E$19:$AM$61,4,0)*$I25</f>
        <v>0</v>
      </c>
      <c r="N25" s="138">
        <f>VLOOKUP($H25,'Material impact data'!$E$19:$AM$61,'Material impact data'!N$15,0)/VLOOKUP($H25,'Material impact data'!$E$19:$AM$61,4,0)*$I25</f>
        <v>0</v>
      </c>
      <c r="O25" s="180">
        <f>VLOOKUP($H25,'Material impact data'!$E$19:$AM$61,'Material impact data'!O$15,0)/VLOOKUP($H25,'Material impact data'!$E$19:$AM$61,4,0)*$I25</f>
        <v>0</v>
      </c>
      <c r="P25" s="180">
        <f>VLOOKUP($H25,'Material impact data'!$E$19:$AM$61,'Material impact data'!P$15,0)/VLOOKUP($H25,'Material impact data'!$E$19:$AM$61,4,0)*$I25</f>
        <v>0</v>
      </c>
      <c r="Q25" s="179">
        <f>VLOOKUP($H25,'Material impact data'!$E$19:$AM$61,'Material impact data'!Q$15,0)/VLOOKUP($H25,'Material impact data'!$E$19:$AM$61,4,0)*$I25</f>
        <v>0</v>
      </c>
      <c r="R25" s="179">
        <f>VLOOKUP($H25,'Material impact data'!$E$19:$AM$61,'Material impact data'!R$15,0)/VLOOKUP($H25,'Material impact data'!$E$19:$AM$61,4,0)*$I25</f>
        <v>0</v>
      </c>
      <c r="S25" s="138">
        <f>VLOOKUP($H25,'Material impact data'!$E$19:$AM$61,'Material impact data'!S$15,0)/VLOOKUP($H25,'Material impact data'!$E$19:$AM$61,4,0)*$I25</f>
        <v>0</v>
      </c>
      <c r="T25" s="138">
        <f>VLOOKUP($H25,'Material impact data'!$E$19:$AM$61,'Material impact data'!T$15,0)/VLOOKUP($H25,'Material impact data'!$E$19:$AM$61,4,0)*$I25</f>
        <v>0</v>
      </c>
      <c r="U25" s="138">
        <f>VLOOKUP($H25,'Material impact data'!$E$19:$AM$61,'Material impact data'!U$15,0)/VLOOKUP($H25,'Material impact data'!$E$19:$AM$61,4,0)*$I25</f>
        <v>0</v>
      </c>
      <c r="V25" s="138">
        <f>VLOOKUP($H25,'Material impact data'!$E$19:$AM$61,'Material impact data'!V$15,0)/VLOOKUP($H25,'Material impact data'!$E$19:$AM$61,4,0)*$I25</f>
        <v>0</v>
      </c>
      <c r="W25" s="138">
        <f>VLOOKUP($H25,'Material impact data'!$E$19:$AM$61,'Material impact data'!W$15,0)/VLOOKUP($H25,'Material impact data'!$E$19:$AM$61,4,0)*$I25</f>
        <v>0</v>
      </c>
      <c r="X25" s="138">
        <f>VLOOKUP($H25,'Material impact data'!$E$19:$AM$61,'Material impact data'!X$15,0)/VLOOKUP($H25,'Material impact data'!$E$19:$AM$61,4,0)*$I25</f>
        <v>0</v>
      </c>
      <c r="Y25" s="138">
        <f>VLOOKUP($H25,'Material impact data'!$E$19:$AM$61,'Material impact data'!Y$15,0)/VLOOKUP($H25,'Material impact data'!$E$19:$AM$61,4,0)*$I25</f>
        <v>0</v>
      </c>
      <c r="Z25" s="180">
        <f>VLOOKUP($H25,'Material impact data'!$E$19:$AM$61,'Material impact data'!Z$15,0)/VLOOKUP($H25,'Material impact data'!$E$19:$AM$61,4,0)*$I25</f>
        <v>0</v>
      </c>
      <c r="AA25" s="180">
        <f>VLOOKUP($H25,'Material impact data'!$E$19:$AM$61,'Material impact data'!AA$15,0)/VLOOKUP($H25,'Material impact data'!$E$19:$AM$61,4,0)*$I25</f>
        <v>0</v>
      </c>
      <c r="AB25" s="180">
        <f>VLOOKUP($H25,'Material impact data'!$E$19:$AM$61,'Material impact data'!AB$15,0)/VLOOKUP($H25,'Material impact data'!$E$19:$AM$61,4,0)*$I25</f>
        <v>0</v>
      </c>
      <c r="AC25" s="180">
        <f>VLOOKUP($H25,'Material impact data'!$E$19:$AM$61,'Material impact data'!AC$15,0)/VLOOKUP($H25,'Material impact data'!$E$19:$AM$61,4,0)*$I25</f>
        <v>0</v>
      </c>
      <c r="AD25" s="180">
        <f>VLOOKUP($H25,'Material impact data'!$E$19:$AM$61,'Material impact data'!AD$15,0)/VLOOKUP($H25,'Material impact data'!$E$19:$AM$61,4,0)*$I25</f>
        <v>0</v>
      </c>
      <c r="AE25" s="180">
        <f>VLOOKUP($H25,'Material impact data'!$E$19:$AM$61,'Material impact data'!AE$15,0)/VLOOKUP($H25,'Material impact data'!$E$19:$AM$61,4,0)*$I25</f>
        <v>0</v>
      </c>
      <c r="AF25" s="180">
        <f>VLOOKUP($H25,'Material impact data'!$E$19:$AM$61,'Material impact data'!AF$15,0)/VLOOKUP($H25,'Material impact data'!$E$19:$AM$61,4,0)*$I25</f>
        <v>0</v>
      </c>
      <c r="AG25" s="179">
        <f>VLOOKUP($H25,'Material impact data'!$E$19:$AM$61,'Material impact data'!AG$15,0)/VLOOKUP($H25,'Material impact data'!$E$19:$AM$61,4,0)*$I25</f>
        <v>0</v>
      </c>
      <c r="AH25" s="179">
        <f>VLOOKUP($H25,'Material impact data'!$E$19:$AM$61,'Material impact data'!AH$15,0)/VLOOKUP($H25,'Material impact data'!$E$19:$AM$61,4,0)*$I25</f>
        <v>0</v>
      </c>
      <c r="AI25" s="179">
        <f>VLOOKUP($H25,'Material impact data'!$E$19:$AM$61,'Material impact data'!AI$15,0)/VLOOKUP($H25,'Material impact data'!$E$19:$AM$61,4,0)*$I25</f>
        <v>0</v>
      </c>
      <c r="AJ25" s="179">
        <f>VLOOKUP($H25,'Material impact data'!$E$19:$AM$61,'Material impact data'!AJ$15,0)/VLOOKUP($H25,'Material impact data'!$E$19:$AM$61,4,0)*$I25</f>
        <v>0</v>
      </c>
      <c r="AK25" s="179">
        <f>VLOOKUP($H25,'Material impact data'!$E$19:$AM$61,'Material impact data'!AK$15,0)/VLOOKUP($H25,'Material impact data'!$E$19:$AM$61,4,0)*$I25</f>
        <v>0</v>
      </c>
      <c r="AL25" s="179">
        <f>VLOOKUP($H25,'Material impact data'!$E$19:$AM$61,'Material impact data'!AL$15,0)/VLOOKUP($H25,'Material impact data'!$E$19:$AM$61,4,0)*$I25</f>
        <v>0</v>
      </c>
      <c r="AM25" s="179">
        <f>VLOOKUP($H25,'Material impact data'!$E$19:$AM$61,'Material impact data'!AM$15,0)/VLOOKUP($H25,'Material impact data'!$E$19:$AM$61,4,0)*$I25</f>
        <v>0</v>
      </c>
      <c r="AO25" s="187">
        <f>M25/'Building &amp; Material inputs'!$C$18/'Building &amp; Material inputs'!$C$19</f>
        <v>0</v>
      </c>
      <c r="AP25" s="187">
        <f>N25/'Building &amp; Material inputs'!$C$18/'Building &amp; Material inputs'!$C$19</f>
        <v>0</v>
      </c>
      <c r="AQ25" s="139">
        <f>O25/'Building &amp; Material inputs'!$C$18/'Building &amp; Material inputs'!$C$19</f>
        <v>0</v>
      </c>
      <c r="AR25" s="139">
        <f>P25/'Building &amp; Material inputs'!$C$18/'Building &amp; Material inputs'!$C$19</f>
        <v>0</v>
      </c>
      <c r="AS25" s="170">
        <f>Q25/'Building &amp; Material inputs'!$C$18/'Building &amp; Material inputs'!$C$19</f>
        <v>0</v>
      </c>
      <c r="AT25" s="170">
        <f>R25/'Building &amp; Material inputs'!$C$18/'Building &amp; Material inputs'!$C$19</f>
        <v>0</v>
      </c>
      <c r="AU25" s="187">
        <f>S25/'Building &amp; Material inputs'!$C$18/'Building &amp; Material inputs'!$C$19</f>
        <v>0</v>
      </c>
      <c r="AV25" s="187">
        <f>T25/'Building &amp; Material inputs'!$C$18/'Building &amp; Material inputs'!$C$19</f>
        <v>0</v>
      </c>
      <c r="AW25" s="187">
        <f>U25/'Building &amp; Material inputs'!$C$18/'Building &amp; Material inputs'!$C$19</f>
        <v>0</v>
      </c>
      <c r="AX25" s="187">
        <f>V25/'Building &amp; Material inputs'!$C$18/'Building &amp; Material inputs'!$C$19</f>
        <v>0</v>
      </c>
      <c r="AY25" s="187">
        <f>W25/'Building &amp; Material inputs'!$C$18/'Building &amp; Material inputs'!$C$19</f>
        <v>0</v>
      </c>
      <c r="AZ25" s="187">
        <f>X25/'Building &amp; Material inputs'!$C$18/'Building &amp; Material inputs'!$C$19</f>
        <v>0</v>
      </c>
      <c r="BA25" s="187">
        <f>Y25/'Building &amp; Material inputs'!$C$18/'Building &amp; Material inputs'!$C$19</f>
        <v>0</v>
      </c>
      <c r="BB25" s="139">
        <f>Z25/'Building &amp; Material inputs'!$C$18/'Building &amp; Material inputs'!$C$19</f>
        <v>0</v>
      </c>
      <c r="BC25" s="139">
        <f>AA25/'Building &amp; Material inputs'!$C$18/'Building &amp; Material inputs'!$C$19</f>
        <v>0</v>
      </c>
      <c r="BD25" s="139">
        <f>AB25/'Building &amp; Material inputs'!$C$18/'Building &amp; Material inputs'!$C$19</f>
        <v>0</v>
      </c>
      <c r="BE25" s="139">
        <f>AC25/'Building &amp; Material inputs'!$C$18/'Building &amp; Material inputs'!$C$19</f>
        <v>0</v>
      </c>
      <c r="BF25" s="139">
        <f>AD25/'Building &amp; Material inputs'!$C$18/'Building &amp; Material inputs'!$C$19</f>
        <v>0</v>
      </c>
      <c r="BG25" s="139">
        <f>AE25/'Building &amp; Material inputs'!$C$18/'Building &amp; Material inputs'!$C$19</f>
        <v>0</v>
      </c>
      <c r="BH25" s="139">
        <f>AF25/'Building &amp; Material inputs'!$C$18/'Building &amp; Material inputs'!$C$19</f>
        <v>0</v>
      </c>
      <c r="BI25" s="170">
        <f>AG25/'Building &amp; Material inputs'!$C$18/'Building &amp; Material inputs'!$C$19</f>
        <v>0</v>
      </c>
      <c r="BJ25" s="170">
        <f>AH25/'Building &amp; Material inputs'!$C$18/'Building &amp; Material inputs'!$C$19</f>
        <v>0</v>
      </c>
      <c r="BK25" s="170">
        <f>AI25/'Building &amp; Material inputs'!$C$18/'Building &amp; Material inputs'!$C$19</f>
        <v>0</v>
      </c>
      <c r="BL25" s="170">
        <f>AJ25/'Building &amp; Material inputs'!$C$18/'Building &amp; Material inputs'!$C$19</f>
        <v>0</v>
      </c>
      <c r="BM25" s="170">
        <f>AK25/'Building &amp; Material inputs'!$C$18/'Building &amp; Material inputs'!$C$19</f>
        <v>0</v>
      </c>
      <c r="BN25" s="170">
        <f>AL25/'Building &amp; Material inputs'!$C$18/'Building &amp; Material inputs'!$C$19</f>
        <v>0</v>
      </c>
      <c r="BO25" s="170">
        <f>AM25/'Building &amp; Material inputs'!$C$18/'Building &amp; Material inputs'!$C$19</f>
        <v>0</v>
      </c>
    </row>
    <row r="26" spans="2:67" x14ac:dyDescent="0.25">
      <c r="B26" s="334"/>
      <c r="C26" s="331"/>
      <c r="D26" s="331"/>
      <c r="E26" s="330" t="s">
        <v>82</v>
      </c>
      <c r="F26" s="15" t="s">
        <v>109</v>
      </c>
      <c r="G26" s="7" t="s">
        <v>19</v>
      </c>
      <c r="H26" s="7" t="str">
        <f>'Material quantities'!G27</f>
        <v>CON1</v>
      </c>
      <c r="I26" s="38">
        <f>'Material quantities'!O27</f>
        <v>53.89</v>
      </c>
      <c r="J26" s="42" t="s">
        <v>14</v>
      </c>
      <c r="K26" s="2"/>
      <c r="L26" s="143">
        <f>VLOOKUP($H26,'Material impact data'!$E$19:$AM$61,6,0)/VLOOKUP($H26,'Material impact data'!$E$19:$AM$61,4,0)*$I26</f>
        <v>6374.1091999999999</v>
      </c>
      <c r="M26" s="138">
        <f>VLOOKUP($H26,'Material impact data'!$E$19:$AM$61,'Material impact data'!M$15,0)/VLOOKUP($H26,'Material impact data'!$E$19:$AM$61,4,0)*$I26</f>
        <v>10239.1</v>
      </c>
      <c r="N26" s="138">
        <f>VLOOKUP($H26,'Material impact data'!$E$19:$AM$61,'Material impact data'!N$15,0)/VLOOKUP($H26,'Material impact data'!$E$19:$AM$61,4,0)*$I26</f>
        <v>75446</v>
      </c>
      <c r="O26" s="180">
        <f>VLOOKUP($H26,'Material impact data'!$E$19:$AM$61,'Material impact data'!O$15,0)/VLOOKUP($H26,'Material impact data'!$E$19:$AM$61,4,0)*$I26</f>
        <v>184.3038</v>
      </c>
      <c r="P26" s="180">
        <f>VLOOKUP($H26,'Material impact data'!$E$19:$AM$61,'Material impact data'!P$15,0)/VLOOKUP($H26,'Material impact data'!$E$19:$AM$61,4,0)*$I26</f>
        <v>3179.51</v>
      </c>
      <c r="Q26" s="179">
        <f>VLOOKUP($H26,'Material impact data'!$E$19:$AM$61,'Material impact data'!Q$15,0)/VLOOKUP($H26,'Material impact data'!$E$19:$AM$61,4,0)*$I26</f>
        <v>0</v>
      </c>
      <c r="R26" s="179">
        <f>VLOOKUP($H26,'Material impact data'!$E$19:$AM$61,'Material impact data'!R$15,0)/VLOOKUP($H26,'Material impact data'!$E$19:$AM$61,4,0)*$I26</f>
        <v>6.5206900000000001</v>
      </c>
      <c r="S26" s="138">
        <f>VLOOKUP($H26,'Material impact data'!$E$19:$AM$61,'Material impact data'!S$15,0)/VLOOKUP($H26,'Material impact data'!$E$19:$AM$61,4,0)*$I26</f>
        <v>15196.98</v>
      </c>
      <c r="T26" s="138">
        <f>VLOOKUP($H26,'Material impact data'!$E$19:$AM$61,'Material impact data'!T$15,0)/VLOOKUP($H26,'Material impact data'!$E$19:$AM$61,4,0)*$I26</f>
        <v>73290.399999999994</v>
      </c>
      <c r="U26" s="138">
        <f>VLOOKUP($H26,'Material impact data'!$E$19:$AM$61,'Material impact data'!U$15,0)/VLOOKUP($H26,'Material impact data'!$E$19:$AM$61,4,0)*$I26</f>
        <v>3.7184099999999997E-3</v>
      </c>
      <c r="V26" s="138">
        <f>VLOOKUP($H26,'Material impact data'!$E$19:$AM$61,'Material impact data'!V$15,0)/VLOOKUP($H26,'Material impact data'!$E$19:$AM$61,4,0)*$I26</f>
        <v>23.496040000000001</v>
      </c>
      <c r="W26" s="138">
        <f>VLOOKUP($H26,'Material impact data'!$E$19:$AM$61,'Material impact data'!W$15,0)/VLOOKUP($H26,'Material impact data'!$E$19:$AM$61,4,0)*$I26</f>
        <v>7.5446000000000009</v>
      </c>
      <c r="X26" s="138">
        <f>VLOOKUP($H26,'Material impact data'!$E$19:$AM$61,'Material impact data'!X$15,0)/VLOOKUP($H26,'Material impact data'!$E$19:$AM$61,4,0)*$I26</f>
        <v>0.85685100000000003</v>
      </c>
      <c r="Y26" s="138">
        <f>VLOOKUP($H26,'Material impact data'!$E$19:$AM$61,'Material impact data'!Y$15,0)/VLOOKUP($H26,'Material impact data'!$E$19:$AM$61,4,0)*$I26</f>
        <v>1.805315E-4</v>
      </c>
      <c r="Z26" s="180">
        <f>VLOOKUP($H26,'Material impact data'!$E$19:$AM$61,'Material impact data'!Z$15,0)/VLOOKUP($H26,'Material impact data'!$E$19:$AM$61,4,0)*$I26</f>
        <v>233.8826</v>
      </c>
      <c r="AA26" s="180">
        <f>VLOOKUP($H26,'Material impact data'!$E$19:$AM$61,'Material impact data'!AA$15,0)/VLOOKUP($H26,'Material impact data'!$E$19:$AM$61,4,0)*$I26</f>
        <v>3168.732</v>
      </c>
      <c r="AB26" s="180">
        <f>VLOOKUP($H26,'Material impact data'!$E$19:$AM$61,'Material impact data'!AB$15,0)/VLOOKUP($H26,'Material impact data'!$E$19:$AM$61,4,0)*$I26</f>
        <v>1.6598120000000001E-5</v>
      </c>
      <c r="AC26" s="180">
        <f>VLOOKUP($H26,'Material impact data'!$E$19:$AM$61,'Material impact data'!AC$15,0)/VLOOKUP($H26,'Material impact data'!$E$19:$AM$61,4,0)*$I26</f>
        <v>0.54428900000000002</v>
      </c>
      <c r="AD26" s="180">
        <f>VLOOKUP($H26,'Material impact data'!$E$19:$AM$61,'Material impact data'!AD$15,0)/VLOOKUP($H26,'Material impact data'!$E$19:$AM$61,4,0)*$I26</f>
        <v>0.13095270000000001</v>
      </c>
      <c r="AE26" s="180">
        <f>VLOOKUP($H26,'Material impact data'!$E$19:$AM$61,'Material impact data'!AE$15,0)/VLOOKUP($H26,'Material impact data'!$E$19:$AM$61,4,0)*$I26</f>
        <v>-0.1816093</v>
      </c>
      <c r="AF26" s="180">
        <f>VLOOKUP($H26,'Material impact data'!$E$19:$AM$61,'Material impact data'!AF$15,0)/VLOOKUP($H26,'Material impact data'!$E$19:$AM$61,4,0)*$I26</f>
        <v>3.8585240000000001E-14</v>
      </c>
      <c r="AG26" s="179">
        <f>VLOOKUP($H26,'Material impact data'!$E$19:$AM$61,'Material impact data'!AG$15,0)/VLOOKUP($H26,'Material impact data'!$E$19:$AM$61,4,0)*$I26</f>
        <v>0.97001999999999988</v>
      </c>
      <c r="AH26" s="179">
        <f>VLOOKUP($H26,'Material impact data'!$E$19:$AM$61,'Material impact data'!AH$15,0)/VLOOKUP($H26,'Material impact data'!$E$19:$AM$61,4,0)*$I26</f>
        <v>13.25694</v>
      </c>
      <c r="AI26" s="179">
        <f>VLOOKUP($H26,'Material impact data'!$E$19:$AM$61,'Material impact data'!AI$15,0)/VLOOKUP($H26,'Material impact data'!$E$19:$AM$61,4,0)*$I26</f>
        <v>3.5082390000000001E-5</v>
      </c>
      <c r="AJ26" s="179">
        <f>VLOOKUP($H26,'Material impact data'!$E$19:$AM$61,'Material impact data'!AJ$15,0)/VLOOKUP($H26,'Material impact data'!$E$19:$AM$61,4,0)*$I26</f>
        <v>4.1710860000000001E-3</v>
      </c>
      <c r="AK26" s="179">
        <f>VLOOKUP($H26,'Material impact data'!$E$19:$AM$61,'Material impact data'!AK$15,0)/VLOOKUP($H26,'Material impact data'!$E$19:$AM$61,4,0)*$I26</f>
        <v>1.7083130000000002E-2</v>
      </c>
      <c r="AL26" s="179">
        <f>VLOOKUP($H26,'Material impact data'!$E$19:$AM$61,'Material impact data'!AL$15,0)/VLOOKUP($H26,'Material impact data'!$E$19:$AM$61,4,0)*$I26</f>
        <v>8.0835E-4</v>
      </c>
      <c r="AM26" s="179">
        <f>VLOOKUP($H26,'Material impact data'!$E$19:$AM$61,'Material impact data'!AM$15,0)/VLOOKUP($H26,'Material impact data'!$E$19:$AM$61,4,0)*$I26</f>
        <v>6.2512399999999993E-8</v>
      </c>
      <c r="AO26" s="187">
        <f>M26/'Building &amp; Material inputs'!$C$18/'Building &amp; Material inputs'!$C$19</f>
        <v>0.7952081391736564</v>
      </c>
      <c r="AP26" s="187">
        <f>N26/'Building &amp; Material inputs'!$C$18/'Building &amp; Material inputs'!$C$19</f>
        <v>5.8594283939111529</v>
      </c>
      <c r="AQ26" s="139">
        <f>O26/'Building &amp; Material inputs'!$C$18/'Building &amp; Material inputs'!$C$19</f>
        <v>1.4313746505125815E-2</v>
      </c>
      <c r="AR26" s="139">
        <f>P26/'Building &amp; Material inputs'!$C$18/'Building &amp; Material inputs'!$C$19</f>
        <v>0.24693305374339861</v>
      </c>
      <c r="AS26" s="170">
        <f>Q26/'Building &amp; Material inputs'!$C$18/'Building &amp; Material inputs'!$C$19</f>
        <v>0</v>
      </c>
      <c r="AT26" s="170">
        <f>R26/'Building &amp; Material inputs'!$C$18/'Building &amp; Material inputs'!$C$19</f>
        <v>5.064220254737496E-4</v>
      </c>
      <c r="AU26" s="187">
        <f>S26/'Building &amp; Material inputs'!$C$18/'Building &amp; Material inputs'!$C$19</f>
        <v>1.1802562907735321</v>
      </c>
      <c r="AV26" s="187">
        <f>T26/'Building &amp; Material inputs'!$C$18/'Building &amp; Material inputs'!$C$19</f>
        <v>5.6920161540851204</v>
      </c>
      <c r="AW26" s="187">
        <f>U26/'Building &amp; Material inputs'!$C$18/'Building &amp; Material inputs'!$C$19</f>
        <v>2.8878611369990683E-7</v>
      </c>
      <c r="AX26" s="187">
        <f>V26/'Building &amp; Material inputs'!$C$18/'Building &amp; Material inputs'!$C$19</f>
        <v>1.8247934141037592E-3</v>
      </c>
      <c r="AY26" s="187">
        <f>W26/'Building &amp; Material inputs'!$C$18/'Building &amp; Material inputs'!$C$19</f>
        <v>5.8594283939111531E-4</v>
      </c>
      <c r="AZ26" s="187">
        <f>X26/'Building &amp; Material inputs'!$C$18/'Building &amp; Material inputs'!$C$19</f>
        <v>6.6546365330848103E-5</v>
      </c>
      <c r="BA26" s="187">
        <f>Y26/'Building &amp; Material inputs'!$C$18/'Building &amp; Material inputs'!$C$19</f>
        <v>1.4020775085430259E-8</v>
      </c>
      <c r="BB26" s="139">
        <f>Z26/'Building &amp; Material inputs'!$C$18/'Building &amp; Material inputs'!$C$19</f>
        <v>1.8164228021124572E-2</v>
      </c>
      <c r="BC26" s="139">
        <f>AA26/'Building &amp; Material inputs'!$C$18/'Building &amp; Material inputs'!$C$19</f>
        <v>0.24609599254426842</v>
      </c>
      <c r="BD26" s="139">
        <f>AB26/'Building &amp; Material inputs'!$C$18/'Building &amp; Material inputs'!$C$19</f>
        <v>1.2890742466604536E-9</v>
      </c>
      <c r="BE26" s="139">
        <f>AC26/'Building &amp; Material inputs'!$C$18/'Building &amp; Material inputs'!$C$19</f>
        <v>4.2271590556073318E-5</v>
      </c>
      <c r="BF26" s="139">
        <f>AD26/'Building &amp; Material inputs'!$C$18/'Building &amp; Material inputs'!$C$19</f>
        <v>1.0170293569431501E-5</v>
      </c>
      <c r="BG26" s="139">
        <f>AE26/'Building &amp; Material inputs'!$C$18/'Building &amp; Material inputs'!$C$19</f>
        <v>-1.4104481205343275E-5</v>
      </c>
      <c r="BH26" s="139">
        <f>AF26/'Building &amp; Material inputs'!$C$18/'Building &amp; Material inputs'!$C$19</f>
        <v>2.9966790928859895E-18</v>
      </c>
      <c r="BI26" s="170">
        <f>AG26/'Building &amp; Material inputs'!$C$18/'Building &amp; Material inputs'!$C$19</f>
        <v>7.5335507921714815E-5</v>
      </c>
      <c r="BJ26" s="170">
        <f>AH26/'Building &amp; Material inputs'!$C$18/'Building &amp; Material inputs'!$C$19</f>
        <v>1.0295852749301027E-3</v>
      </c>
      <c r="BK26" s="170">
        <f>AI26/'Building &amp; Material inputs'!$C$18/'Building &amp; Material inputs'!$C$19</f>
        <v>2.7246342031686862E-9</v>
      </c>
      <c r="BL26" s="170">
        <f>AJ26/'Building &amp; Material inputs'!$C$18/'Building &amp; Material inputs'!$C$19</f>
        <v>3.2394268406337376E-7</v>
      </c>
      <c r="BM26" s="170">
        <f>AK26/'Building &amp; Material inputs'!$C$18/'Building &amp; Material inputs'!$C$19</f>
        <v>1.3267420006213112E-6</v>
      </c>
      <c r="BN26" s="170">
        <f>AL26/'Building &amp; Material inputs'!$C$18/'Building &amp; Material inputs'!$C$19</f>
        <v>6.2779589934762348E-8</v>
      </c>
      <c r="BO26" s="170">
        <f>AM26/'Building &amp; Material inputs'!$C$18/'Building &amp; Material inputs'!$C$19</f>
        <v>4.8549549549549545E-12</v>
      </c>
    </row>
    <row r="27" spans="2:67" x14ac:dyDescent="0.25">
      <c r="B27" s="334"/>
      <c r="C27" s="331"/>
      <c r="D27" s="331"/>
      <c r="E27" s="331"/>
      <c r="F27" s="15" t="s">
        <v>110</v>
      </c>
      <c r="G27" s="7" t="s">
        <v>20</v>
      </c>
      <c r="H27" s="7" t="str">
        <f>'Material quantities'!G28</f>
        <v>REB</v>
      </c>
      <c r="I27" s="38">
        <f>'Material quantities'!O28</f>
        <v>3411.2370000000001</v>
      </c>
      <c r="J27" s="42" t="s">
        <v>15</v>
      </c>
      <c r="K27" s="2"/>
      <c r="L27" s="143">
        <f>VLOOKUP($H27,'Material impact data'!$E$19:$AM$61,6,0)/VLOOKUP($H27,'Material impact data'!$E$19:$AM$61,4,0)*$I27</f>
        <v>6140.2266</v>
      </c>
      <c r="M27" s="138">
        <f>VLOOKUP($H27,'Material impact data'!$E$19:$AM$61,'Material impact data'!M$15,0)/VLOOKUP($H27,'Material impact data'!$E$19:$AM$61,4,0)*$I27</f>
        <v>5403.3994080000002</v>
      </c>
      <c r="N27" s="138">
        <f>VLOOKUP($H27,'Material impact data'!$E$19:$AM$61,'Material impact data'!N$15,0)/VLOOKUP($H27,'Material impact data'!$E$19:$AM$61,4,0)*$I27</f>
        <v>24543.850215000002</v>
      </c>
      <c r="O27" s="180">
        <f>VLOOKUP($H27,'Material impact data'!$E$19:$AM$61,'Material impact data'!O$15,0)/VLOOKUP($H27,'Material impact data'!$E$19:$AM$61,4,0)*$I27</f>
        <v>40.934844000000005</v>
      </c>
      <c r="P27" s="180">
        <f>VLOOKUP($H27,'Material impact data'!$E$19:$AM$61,'Material impact data'!P$15,0)/VLOOKUP($H27,'Material impact data'!$E$19:$AM$61,4,0)*$I27</f>
        <v>2237.7714720000004</v>
      </c>
      <c r="Q27" s="179">
        <f>VLOOKUP($H27,'Material impact data'!$E$19:$AM$61,'Material impact data'!Q$15,0)/VLOOKUP($H27,'Material impact data'!$E$19:$AM$61,4,0)*$I27</f>
        <v>0</v>
      </c>
      <c r="R27" s="179">
        <f>VLOOKUP($H27,'Material impact data'!$E$19:$AM$61,'Material impact data'!R$15,0)/VLOOKUP($H27,'Material impact data'!$E$19:$AM$61,4,0)*$I27</f>
        <v>0.10233711</v>
      </c>
      <c r="S27" s="138">
        <f>VLOOKUP($H27,'Material impact data'!$E$19:$AM$61,'Material impact data'!S$15,0)/VLOOKUP($H27,'Material impact data'!$E$19:$AM$61,4,0)*$I27</f>
        <v>1797.7218990000001</v>
      </c>
      <c r="T27" s="138">
        <f>VLOOKUP($H27,'Material impact data'!$E$19:$AM$61,'Material impact data'!T$15,0)/VLOOKUP($H27,'Material impact data'!$E$19:$AM$61,4,0)*$I27</f>
        <v>22258.321425000002</v>
      </c>
      <c r="U27" s="138">
        <f>VLOOKUP($H27,'Material impact data'!$E$19:$AM$61,'Material impact data'!U$15,0)/VLOOKUP($H27,'Material impact data'!$E$19:$AM$61,4,0)*$I27</f>
        <v>3.4770738740999996E-3</v>
      </c>
      <c r="V27" s="138">
        <f>VLOOKUP($H27,'Material impact data'!$E$19:$AM$61,'Material impact data'!V$15,0)/VLOOKUP($H27,'Material impact data'!$E$19:$AM$61,4,0)*$I27</f>
        <v>6.8224740000000006</v>
      </c>
      <c r="W27" s="138">
        <f>VLOOKUP($H27,'Material impact data'!$E$19:$AM$61,'Material impact data'!W$15,0)/VLOOKUP($H27,'Material impact data'!$E$19:$AM$61,4,0)*$I27</f>
        <v>2.9063739239999999</v>
      </c>
      <c r="X27" s="138">
        <f>VLOOKUP($H27,'Material impact data'!$E$19:$AM$61,'Material impact data'!X$15,0)/VLOOKUP($H27,'Material impact data'!$E$19:$AM$61,4,0)*$I27</f>
        <v>0.64131255599999992</v>
      </c>
      <c r="Y27" s="138">
        <f>VLOOKUP($H27,'Material impact data'!$E$19:$AM$61,'Material impact data'!Y$15,0)/VLOOKUP($H27,'Material impact data'!$E$19:$AM$61,4,0)*$I27</f>
        <v>1.8387931924799999E-4</v>
      </c>
      <c r="Z27" s="180">
        <f>VLOOKUP($H27,'Material impact data'!$E$19:$AM$61,'Material impact data'!Z$15,0)/VLOOKUP($H27,'Material impact data'!$E$19:$AM$61,4,0)*$I27</f>
        <v>139.86071700000002</v>
      </c>
      <c r="AA27" s="180">
        <f>VLOOKUP($H27,'Material impact data'!$E$19:$AM$61,'Material impact data'!AA$15,0)/VLOOKUP($H27,'Material impact data'!$E$19:$AM$61,4,0)*$I27</f>
        <v>2166.135495</v>
      </c>
      <c r="AB27" s="180">
        <f>VLOOKUP($H27,'Material impact data'!$E$19:$AM$61,'Material impact data'!AB$15,0)/VLOOKUP($H27,'Material impact data'!$E$19:$AM$61,4,0)*$I27</f>
        <v>2.4356232180000001E-4</v>
      </c>
      <c r="AC27" s="180">
        <f>VLOOKUP($H27,'Material impact data'!$E$19:$AM$61,'Material impact data'!AC$15,0)/VLOOKUP($H27,'Material impact data'!$E$19:$AM$61,4,0)*$I27</f>
        <v>0.81869687999999996</v>
      </c>
      <c r="AD27" s="180">
        <f>VLOOKUP($H27,'Material impact data'!$E$19:$AM$61,'Material impact data'!AD$15,0)/VLOOKUP($H27,'Material impact data'!$E$19:$AM$61,4,0)*$I27</f>
        <v>0.14327195400000001</v>
      </c>
      <c r="AE27" s="180">
        <f>VLOOKUP($H27,'Material impact data'!$E$19:$AM$61,'Material impact data'!AE$15,0)/VLOOKUP($H27,'Material impact data'!$E$19:$AM$61,4,0)*$I27</f>
        <v>3.0701132999999995E-2</v>
      </c>
      <c r="AF27" s="180">
        <f>VLOOKUP($H27,'Material impact data'!$E$19:$AM$61,'Material impact data'!AF$15,0)/VLOOKUP($H27,'Material impact data'!$E$19:$AM$61,4,0)*$I27</f>
        <v>2.6812322819999997E-5</v>
      </c>
      <c r="AG27" s="179">
        <f>VLOOKUP($H27,'Material impact data'!$E$19:$AM$61,'Material impact data'!AG$15,0)/VLOOKUP($H27,'Material impact data'!$E$19:$AM$61,4,0)*$I27</f>
        <v>2.8620278429999999E-4</v>
      </c>
      <c r="AH27" s="179">
        <f>VLOOKUP($H27,'Material impact data'!$E$19:$AM$61,'Material impact data'!AH$15,0)/VLOOKUP($H27,'Material impact data'!$E$19:$AM$61,4,0)*$I27</f>
        <v>3.4112370000000001E-3</v>
      </c>
      <c r="AI27" s="179">
        <f>VLOOKUP($H27,'Material impact data'!$E$19:$AM$61,'Material impact data'!AI$15,0)/VLOOKUP($H27,'Material impact data'!$E$19:$AM$61,4,0)*$I27</f>
        <v>1.0574834700000001E-8</v>
      </c>
      <c r="AJ27" s="179">
        <f>VLOOKUP($H27,'Material impact data'!$E$19:$AM$61,'Material impact data'!AJ$15,0)/VLOOKUP($H27,'Material impact data'!$E$19:$AM$61,4,0)*$I27</f>
        <v>1.258746453E-6</v>
      </c>
      <c r="AK27" s="179">
        <f>VLOOKUP($H27,'Material impact data'!$E$19:$AM$61,'Material impact data'!AK$15,0)/VLOOKUP($H27,'Material impact data'!$E$19:$AM$61,4,0)*$I27</f>
        <v>5.15096787E-6</v>
      </c>
      <c r="AL27" s="179">
        <f>VLOOKUP($H27,'Material impact data'!$E$19:$AM$61,'Material impact data'!AL$15,0)/VLOOKUP($H27,'Material impact data'!$E$19:$AM$61,4,0)*$I27</f>
        <v>2.432211981E-7</v>
      </c>
      <c r="AM27" s="179">
        <f>VLOOKUP($H27,'Material impact data'!$E$19:$AM$61,'Material impact data'!AM$15,0)/VLOOKUP($H27,'Material impact data'!$E$19:$AM$61,4,0)*$I27</f>
        <v>1.8864140610000002E-11</v>
      </c>
      <c r="AO27" s="187">
        <f>M27/'Building &amp; Material inputs'!$C$18/'Building &amp; Material inputs'!$C$19</f>
        <v>0.41964891332712029</v>
      </c>
      <c r="AP27" s="187">
        <f>N27/'Building &amp; Material inputs'!$C$18/'Building &amp; Material inputs'!$C$19</f>
        <v>1.9061704112301958</v>
      </c>
      <c r="AQ27" s="139">
        <f>O27/'Building &amp; Material inputs'!$C$18/'Building &amp; Material inputs'!$C$19</f>
        <v>3.1791584342963659E-3</v>
      </c>
      <c r="AR27" s="139">
        <f>P27/'Building &amp; Material inputs'!$C$18/'Building &amp; Material inputs'!$C$19</f>
        <v>0.17379399440820134</v>
      </c>
      <c r="AS27" s="170">
        <f>Q27/'Building &amp; Material inputs'!$C$18/'Building &amp; Material inputs'!$C$19</f>
        <v>0</v>
      </c>
      <c r="AT27" s="170">
        <f>R27/'Building &amp; Material inputs'!$C$18/'Building &amp; Material inputs'!$C$19</f>
        <v>7.9478960857409131E-6</v>
      </c>
      <c r="AU27" s="187">
        <f>S27/'Building &amp; Material inputs'!$C$18/'Building &amp; Material inputs'!$C$19</f>
        <v>0.13961804123951541</v>
      </c>
      <c r="AV27" s="187">
        <f>T27/'Building &amp; Material inputs'!$C$18/'Building &amp; Material inputs'!$C$19</f>
        <v>1.7286673986486489</v>
      </c>
      <c r="AW27" s="187">
        <f>U27/'Building &amp; Material inputs'!$C$18/'Building &amp; Material inputs'!$C$19</f>
        <v>2.7004301600652378E-7</v>
      </c>
      <c r="AX27" s="187">
        <f>V27/'Building &amp; Material inputs'!$C$18/'Building &amp; Material inputs'!$C$19</f>
        <v>5.2985973904939431E-4</v>
      </c>
      <c r="AY27" s="187">
        <f>W27/'Building &amp; Material inputs'!$C$18/'Building &amp; Material inputs'!$C$19</f>
        <v>2.2572024883504195E-4</v>
      </c>
      <c r="AZ27" s="187">
        <f>X27/'Building &amp; Material inputs'!$C$18/'Building &amp; Material inputs'!$C$19</f>
        <v>4.9806815470643049E-5</v>
      </c>
      <c r="BA27" s="187">
        <f>Y27/'Building &amp; Material inputs'!$C$18/'Building &amp; Material inputs'!$C$19</f>
        <v>1.4280779686859273E-8</v>
      </c>
      <c r="BB27" s="139">
        <f>Z27/'Building &amp; Material inputs'!$C$18/'Building &amp; Material inputs'!$C$19</f>
        <v>1.0862124650512584E-2</v>
      </c>
      <c r="BC27" s="139">
        <f>AA27/'Building &amp; Material inputs'!$C$18/'Building &amp; Material inputs'!$C$19</f>
        <v>0.16823046714818268</v>
      </c>
      <c r="BD27" s="139">
        <f>AB27/'Building &amp; Material inputs'!$C$18/'Building &amp; Material inputs'!$C$19</f>
        <v>1.8915992684063378E-8</v>
      </c>
      <c r="BE27" s="139">
        <f>AC27/'Building &amp; Material inputs'!$C$18/'Building &amp; Material inputs'!$C$19</f>
        <v>6.3583168685927305E-5</v>
      </c>
      <c r="BF27" s="139">
        <f>AD27/'Building &amp; Material inputs'!$C$18/'Building &amp; Material inputs'!$C$19</f>
        <v>1.1127054520037279E-5</v>
      </c>
      <c r="BG27" s="139">
        <f>AE27/'Building &amp; Material inputs'!$C$18/'Building &amp; Material inputs'!$C$19</f>
        <v>2.3843688257222738E-6</v>
      </c>
      <c r="BH27" s="139">
        <f>AF27/'Building &amp; Material inputs'!$C$18/'Building &amp; Material inputs'!$C$19</f>
        <v>2.0823487744641193E-9</v>
      </c>
      <c r="BI27" s="170">
        <f>AG27/'Building &amp; Material inputs'!$C$18/'Building &amp; Material inputs'!$C$19</f>
        <v>2.2227616053122087E-8</v>
      </c>
      <c r="BJ27" s="170">
        <f>AH27/'Building &amp; Material inputs'!$C$18/'Building &amp; Material inputs'!$C$19</f>
        <v>2.6492986952469713E-7</v>
      </c>
      <c r="BK27" s="170">
        <f>AI27/'Building &amp; Material inputs'!$C$18/'Building &amp; Material inputs'!$C$19</f>
        <v>8.212825955265612E-13</v>
      </c>
      <c r="BL27" s="170">
        <f>AJ27/'Building &amp; Material inputs'!$C$18/'Building &amp; Material inputs'!$C$19</f>
        <v>9.775912185461324E-11</v>
      </c>
      <c r="BM27" s="170">
        <f>AK27/'Building &amp; Material inputs'!$C$18/'Building &amp; Material inputs'!$C$19</f>
        <v>4.0004410298229264E-10</v>
      </c>
      <c r="BN27" s="170">
        <f>AL27/'Building &amp; Material inputs'!$C$18/'Building &amp; Material inputs'!$C$19</f>
        <v>1.8889499697110905E-11</v>
      </c>
      <c r="BO27" s="170">
        <f>AM27/'Building &amp; Material inputs'!$C$18/'Building &amp; Material inputs'!$C$19</f>
        <v>1.4650621784715755E-15</v>
      </c>
    </row>
    <row r="28" spans="2:67" x14ac:dyDescent="0.25">
      <c r="B28" s="334"/>
      <c r="C28" s="331"/>
      <c r="D28" s="331"/>
      <c r="E28" s="332"/>
      <c r="F28" s="15" t="s">
        <v>454</v>
      </c>
      <c r="G28" s="7" t="s">
        <v>447</v>
      </c>
      <c r="H28" s="7" t="str">
        <f>'Material quantities'!G29</f>
        <v>CON0</v>
      </c>
      <c r="I28" s="38">
        <f>'Material quantities'!O29</f>
        <v>7.3810000000000002</v>
      </c>
      <c r="J28" s="42" t="s">
        <v>14</v>
      </c>
      <c r="K28" s="2"/>
      <c r="L28" s="143">
        <f>VLOOKUP($H28,'Material impact data'!$E$19:$AM$61,6,0)/VLOOKUP($H28,'Material impact data'!$E$19:$AM$61,4,0)*$I28</f>
        <v>646.13274000000001</v>
      </c>
      <c r="M28" s="138">
        <f>VLOOKUP($H28,'Material impact data'!$E$19:$AM$61,'Material impact data'!M$15,0)/VLOOKUP($H28,'Material impact data'!$E$19:$AM$61,4,0)*$I28</f>
        <v>233.90389000000002</v>
      </c>
      <c r="N28" s="138">
        <f>VLOOKUP($H28,'Material impact data'!$E$19:$AM$61,'Material impact data'!N$15,0)/VLOOKUP($H28,'Material impact data'!$E$19:$AM$61,4,0)*$I28</f>
        <v>6630.3522999999996</v>
      </c>
      <c r="O28" s="180">
        <f>VLOOKUP($H28,'Material impact data'!$E$19:$AM$61,'Material impact data'!O$15,0)/VLOOKUP($H28,'Material impact data'!$E$19:$AM$61,4,0)*$I28</f>
        <v>6.7078528000000004</v>
      </c>
      <c r="P28" s="180">
        <f>VLOOKUP($H28,'Material impact data'!$E$19:$AM$61,'Material impact data'!P$15,0)/VLOOKUP($H28,'Material impact data'!$E$19:$AM$61,4,0)*$I28</f>
        <v>211.98231999999999</v>
      </c>
      <c r="Q28" s="179">
        <f>VLOOKUP($H28,'Material impact data'!$E$19:$AM$61,'Material impact data'!Q$15,0)/VLOOKUP($H28,'Material impact data'!$E$19:$AM$61,4,0)*$I28</f>
        <v>5.1194616000000002</v>
      </c>
      <c r="R28" s="179">
        <f>VLOOKUP($H28,'Material impact data'!$E$19:$AM$61,'Material impact data'!R$15,0)/VLOOKUP($H28,'Material impact data'!$E$19:$AM$61,4,0)*$I28</f>
        <v>309.19009</v>
      </c>
      <c r="S28" s="138">
        <f>VLOOKUP($H28,'Material impact data'!$E$19:$AM$61,'Material impact data'!S$15,0)/VLOOKUP($H28,'Material impact data'!$E$19:$AM$61,4,0)*$I28</f>
        <v>938.86320000000001</v>
      </c>
      <c r="T28" s="138">
        <f>VLOOKUP($H28,'Material impact data'!$E$19:$AM$61,'Material impact data'!T$15,0)/VLOOKUP($H28,'Material impact data'!$E$19:$AM$61,4,0)*$I28</f>
        <v>6608.2092999999995</v>
      </c>
      <c r="U28" s="138">
        <f>VLOOKUP($H28,'Material impact data'!$E$19:$AM$61,'Material impact data'!U$15,0)/VLOOKUP($H28,'Material impact data'!$E$19:$AM$61,4,0)*$I28</f>
        <v>2.4283489999999998E-5</v>
      </c>
      <c r="V28" s="138">
        <f>VLOOKUP($H28,'Material impact data'!$E$19:$AM$61,'Material impact data'!V$15,0)/VLOOKUP($H28,'Material impact data'!$E$19:$AM$61,4,0)*$I28</f>
        <v>1.9131552000000001</v>
      </c>
      <c r="W28" s="138">
        <f>VLOOKUP($H28,'Material impact data'!$E$19:$AM$61,'Material impact data'!W$15,0)/VLOOKUP($H28,'Material impact data'!$E$19:$AM$61,4,0)*$I28</f>
        <v>8.3036250000000006E-2</v>
      </c>
      <c r="X28" s="138">
        <f>VLOOKUP($H28,'Material impact data'!$E$19:$AM$61,'Material impact data'!X$15,0)/VLOOKUP($H28,'Material impact data'!$E$19:$AM$61,4,0)*$I28</f>
        <v>1.6725346000000001</v>
      </c>
      <c r="Y28" s="138">
        <f>VLOOKUP($H28,'Material impact data'!$E$19:$AM$61,'Material impact data'!Y$15,0)/VLOOKUP($H28,'Material impact data'!$E$19:$AM$61,4,0)*$I28</f>
        <v>2.2438240000000001E-5</v>
      </c>
      <c r="Z28" s="180">
        <f>VLOOKUP($H28,'Material impact data'!$E$19:$AM$61,'Material impact data'!Z$15,0)/VLOOKUP($H28,'Material impact data'!$E$19:$AM$61,4,0)*$I28</f>
        <v>15.027716</v>
      </c>
      <c r="AA28" s="180">
        <f>VLOOKUP($H28,'Material impact data'!$E$19:$AM$61,'Material impact data'!AA$15,0)/VLOOKUP($H28,'Material impact data'!$E$19:$AM$61,4,0)*$I28</f>
        <v>211.98231999999999</v>
      </c>
      <c r="AB28" s="180">
        <f>VLOOKUP($H28,'Material impact data'!$E$19:$AM$61,'Material impact data'!AB$15,0)/VLOOKUP($H28,'Material impact data'!$E$19:$AM$61,4,0)*$I28</f>
        <v>9.7798250000000004E-7</v>
      </c>
      <c r="AC28" s="180">
        <f>VLOOKUP($H28,'Material impact data'!$E$19:$AM$61,'Material impact data'!AC$15,0)/VLOOKUP($H28,'Material impact data'!$E$19:$AM$61,4,0)*$I28</f>
        <v>3.7355241000000004E-2</v>
      </c>
      <c r="AD28" s="180">
        <f>VLOOKUP($H28,'Material impact data'!$E$19:$AM$61,'Material impact data'!AD$15,0)/VLOOKUP($H28,'Material impact data'!$E$19:$AM$61,4,0)*$I28</f>
        <v>1.1123167E-4</v>
      </c>
      <c r="AE28" s="180">
        <f>VLOOKUP($H28,'Material impact data'!$E$19:$AM$61,'Material impact data'!AE$15,0)/VLOOKUP($H28,'Material impact data'!$E$19:$AM$61,4,0)*$I28</f>
        <v>1.8489405E-2</v>
      </c>
      <c r="AF28" s="180">
        <f>VLOOKUP($H28,'Material impact data'!$E$19:$AM$61,'Material impact data'!AF$15,0)/VLOOKUP($H28,'Material impact data'!$E$19:$AM$61,4,0)*$I28</f>
        <v>3.5487848000000001E-6</v>
      </c>
      <c r="AG28" s="179">
        <f>VLOOKUP($H28,'Material impact data'!$E$19:$AM$61,'Material impact data'!AG$15,0)/VLOOKUP($H28,'Material impact data'!$E$19:$AM$61,4,0)*$I28</f>
        <v>29.088521</v>
      </c>
      <c r="AH28" s="179">
        <f>VLOOKUP($H28,'Material impact data'!$E$19:$AM$61,'Material impact data'!AH$15,0)/VLOOKUP($H28,'Material impact data'!$E$19:$AM$61,4,0)*$I28</f>
        <v>308.82104000000004</v>
      </c>
      <c r="AI28" s="179">
        <f>VLOOKUP($H28,'Material impact data'!$E$19:$AM$61,'Material impact data'!AI$15,0)/VLOOKUP($H28,'Material impact data'!$E$19:$AM$61,4,0)*$I28</f>
        <v>1.1167453E-6</v>
      </c>
      <c r="AJ28" s="179">
        <f>VLOOKUP($H28,'Material impact data'!$E$19:$AM$61,'Material impact data'!AJ$15,0)/VLOOKUP($H28,'Material impact data'!$E$19:$AM$61,4,0)*$I28</f>
        <v>0.16474391999999999</v>
      </c>
      <c r="AK28" s="179">
        <f>VLOOKUP($H28,'Material impact data'!$E$19:$AM$61,'Material impact data'!AK$15,0)/VLOOKUP($H28,'Material impact data'!$E$19:$AM$61,4,0)*$I28</f>
        <v>1.9596555E-3</v>
      </c>
      <c r="AL28" s="179">
        <f>VLOOKUP($H28,'Material impact data'!$E$19:$AM$61,'Material impact data'!AL$15,0)/VLOOKUP($H28,'Material impact data'!$E$19:$AM$61,4,0)*$I28</f>
        <v>0.18297499</v>
      </c>
      <c r="AM28" s="179">
        <f>VLOOKUP($H28,'Material impact data'!$E$19:$AM$61,'Material impact data'!AM$15,0)/VLOOKUP($H28,'Material impact data'!$E$19:$AM$61,4,0)*$I28</f>
        <v>3.3074261000000001E-6</v>
      </c>
      <c r="AO28" s="187">
        <f>M28/'Building &amp; Material inputs'!$C$18/'Building &amp; Material inputs'!$C$19</f>
        <v>1.8165881484933213E-2</v>
      </c>
      <c r="AP28" s="187">
        <f>N28/'Building &amp; Material inputs'!$C$18/'Building &amp; Material inputs'!$C$19</f>
        <v>0.51493882416899661</v>
      </c>
      <c r="AQ28" s="139">
        <f>O28/'Building &amp; Material inputs'!$C$18/'Building &amp; Material inputs'!$C$19</f>
        <v>5.2095781298539922E-4</v>
      </c>
      <c r="AR28" s="139">
        <f>P28/'Building &amp; Material inputs'!$C$18/'Building &amp; Material inputs'!$C$19</f>
        <v>1.646336750543647E-2</v>
      </c>
      <c r="AS28" s="170">
        <f>Q28/'Building &amp; Material inputs'!$C$18/'Building &amp; Material inputs'!$C$19</f>
        <v>3.9759720410065242E-4</v>
      </c>
      <c r="AT28" s="170">
        <f>R28/'Building &amp; Material inputs'!$C$18/'Building &amp; Material inputs'!$C$19</f>
        <v>2.4012899192295746E-2</v>
      </c>
      <c r="AU28" s="187">
        <f>S28/'Building &amp; Material inputs'!$C$18/'Building &amp; Material inputs'!$C$19</f>
        <v>7.2915750232991614E-2</v>
      </c>
      <c r="AV28" s="187">
        <f>T28/'Building &amp; Material inputs'!$C$18/'Building &amp; Material inputs'!$C$19</f>
        <v>0.51321911307859591</v>
      </c>
      <c r="AW28" s="187">
        <f>U28/'Building &amp; Material inputs'!$C$18/'Building &amp; Material inputs'!$C$19</f>
        <v>1.8859498291394844E-9</v>
      </c>
      <c r="AX28" s="187">
        <f>V28/'Building &amp; Material inputs'!$C$18/'Building &amp; Material inputs'!$C$19</f>
        <v>1.4858303821062443E-4</v>
      </c>
      <c r="AY28" s="187">
        <f>W28/'Building &amp; Material inputs'!$C$18/'Building &amp; Material inputs'!$C$19</f>
        <v>6.448916589002797E-6</v>
      </c>
      <c r="AZ28" s="187">
        <f>X28/'Building &amp; Material inputs'!$C$18/'Building &amp; Material inputs'!$C$19</f>
        <v>1.2989551102826966E-4</v>
      </c>
      <c r="BA28" s="187">
        <f>Y28/'Building &amp; Material inputs'!$C$18/'Building &amp; Material inputs'!$C$19</f>
        <v>1.742640571606089E-9</v>
      </c>
      <c r="BB28" s="139">
        <f>Z28/'Building &amp; Material inputs'!$C$18/'Building &amp; Material inputs'!$C$19</f>
        <v>1.1671105933519729E-3</v>
      </c>
      <c r="BC28" s="139">
        <f>AA28/'Building &amp; Material inputs'!$C$18/'Building &amp; Material inputs'!$C$19</f>
        <v>1.646336750543647E-2</v>
      </c>
      <c r="BD28" s="139">
        <f>AB28/'Building &amp; Material inputs'!$C$18/'Building &amp; Material inputs'!$C$19</f>
        <v>7.5953906492699611E-11</v>
      </c>
      <c r="BE28" s="139">
        <f>AC28/'Building &amp; Material inputs'!$C$18/'Building &amp; Material inputs'!$C$19</f>
        <v>2.9011526095060583E-6</v>
      </c>
      <c r="BF28" s="139">
        <f>AD28/'Building &amp; Material inputs'!$C$18/'Building &amp; Material inputs'!$C$19</f>
        <v>8.6386820441130789E-9</v>
      </c>
      <c r="BG28" s="139">
        <f>AE28/'Building &amp; Material inputs'!$C$18/'Building &amp; Material inputs'!$C$19</f>
        <v>1.4359587604846225E-6</v>
      </c>
      <c r="BH28" s="139">
        <f>AF28/'Building &amp; Material inputs'!$C$18/'Building &amp; Material inputs'!$C$19</f>
        <v>2.7561236408822619E-10</v>
      </c>
      <c r="BI28" s="170">
        <f>AG28/'Building &amp; Material inputs'!$C$18/'Building &amp; Material inputs'!$C$19</f>
        <v>2.2591271357564461E-3</v>
      </c>
      <c r="BJ28" s="170">
        <f>AH28/'Building &amp; Material inputs'!$C$18/'Building &amp; Material inputs'!$C$19</f>
        <v>2.3984237340789069E-2</v>
      </c>
      <c r="BK28" s="170">
        <f>AI28/'Building &amp; Material inputs'!$C$18/'Building &amp; Material inputs'!$C$19</f>
        <v>8.6730762659210934E-11</v>
      </c>
      <c r="BL28" s="170">
        <f>AJ28/'Building &amp; Material inputs'!$C$18/'Building &amp; Material inputs'!$C$19</f>
        <v>1.2794650512581547E-5</v>
      </c>
      <c r="BM28" s="170">
        <f>AK28/'Building &amp; Material inputs'!$C$18/'Building &amp; Material inputs'!$C$19</f>
        <v>1.52194431500466E-7</v>
      </c>
      <c r="BN28" s="170">
        <f>AL28/'Building &amp; Material inputs'!$C$18/'Building &amp; Material inputs'!$C$19</f>
        <v>1.4210545977011495E-5</v>
      </c>
      <c r="BO28" s="170">
        <f>AM28/'Building &amp; Material inputs'!$C$18/'Building &amp; Material inputs'!$C$19</f>
        <v>2.5686751320285805E-10</v>
      </c>
    </row>
    <row r="29" spans="2:67" x14ac:dyDescent="0.25">
      <c r="B29" s="334"/>
      <c r="C29" s="331"/>
      <c r="D29" s="331"/>
      <c r="E29" s="330" t="s">
        <v>83</v>
      </c>
      <c r="F29" s="15" t="s">
        <v>111</v>
      </c>
      <c r="G29" s="7" t="s">
        <v>19</v>
      </c>
      <c r="H29" s="7" t="str">
        <f>'Material quantities'!G30</f>
        <v>CON1</v>
      </c>
      <c r="I29" s="38">
        <f>'Material quantities'!O30</f>
        <v>9.5299999999999994</v>
      </c>
      <c r="J29" s="42" t="s">
        <v>14</v>
      </c>
      <c r="K29" s="2"/>
      <c r="L29" s="143">
        <f>VLOOKUP($H29,'Material impact data'!$E$19:$AM$61,6,0)/VLOOKUP($H29,'Material impact data'!$E$19:$AM$61,4,0)*$I29</f>
        <v>1127.2084</v>
      </c>
      <c r="M29" s="138">
        <f>VLOOKUP($H29,'Material impact data'!$E$19:$AM$61,'Material impact data'!M$15,0)/VLOOKUP($H29,'Material impact data'!$E$19:$AM$61,4,0)*$I29</f>
        <v>1810.6999999999998</v>
      </c>
      <c r="N29" s="138">
        <f>VLOOKUP($H29,'Material impact data'!$E$19:$AM$61,'Material impact data'!N$15,0)/VLOOKUP($H29,'Material impact data'!$E$19:$AM$61,4,0)*$I29</f>
        <v>13342</v>
      </c>
      <c r="O29" s="180">
        <f>VLOOKUP($H29,'Material impact data'!$E$19:$AM$61,'Material impact data'!O$15,0)/VLOOKUP($H29,'Material impact data'!$E$19:$AM$61,4,0)*$I29</f>
        <v>32.592599999999997</v>
      </c>
      <c r="P29" s="180">
        <f>VLOOKUP($H29,'Material impact data'!$E$19:$AM$61,'Material impact data'!P$15,0)/VLOOKUP($H29,'Material impact data'!$E$19:$AM$61,4,0)*$I29</f>
        <v>562.27</v>
      </c>
      <c r="Q29" s="179">
        <f>VLOOKUP($H29,'Material impact data'!$E$19:$AM$61,'Material impact data'!Q$15,0)/VLOOKUP($H29,'Material impact data'!$E$19:$AM$61,4,0)*$I29</f>
        <v>0</v>
      </c>
      <c r="R29" s="179">
        <f>VLOOKUP($H29,'Material impact data'!$E$19:$AM$61,'Material impact data'!R$15,0)/VLOOKUP($H29,'Material impact data'!$E$19:$AM$61,4,0)*$I29</f>
        <v>1.15313</v>
      </c>
      <c r="S29" s="138">
        <f>VLOOKUP($H29,'Material impact data'!$E$19:$AM$61,'Material impact data'!S$15,0)/VLOOKUP($H29,'Material impact data'!$E$19:$AM$61,4,0)*$I29</f>
        <v>2687.46</v>
      </c>
      <c r="T29" s="138">
        <f>VLOOKUP($H29,'Material impact data'!$E$19:$AM$61,'Material impact data'!T$15,0)/VLOOKUP($H29,'Material impact data'!$E$19:$AM$61,4,0)*$I29</f>
        <v>12960.8</v>
      </c>
      <c r="U29" s="138">
        <f>VLOOKUP($H29,'Material impact data'!$E$19:$AM$61,'Material impact data'!U$15,0)/VLOOKUP($H29,'Material impact data'!$E$19:$AM$61,4,0)*$I29</f>
        <v>6.575699999999999E-4</v>
      </c>
      <c r="V29" s="138">
        <f>VLOOKUP($H29,'Material impact data'!$E$19:$AM$61,'Material impact data'!V$15,0)/VLOOKUP($H29,'Material impact data'!$E$19:$AM$61,4,0)*$I29</f>
        <v>4.1550799999999999</v>
      </c>
      <c r="W29" s="138">
        <f>VLOOKUP($H29,'Material impact data'!$E$19:$AM$61,'Material impact data'!W$15,0)/VLOOKUP($H29,'Material impact data'!$E$19:$AM$61,4,0)*$I29</f>
        <v>1.3342000000000001</v>
      </c>
      <c r="X29" s="138">
        <f>VLOOKUP($H29,'Material impact data'!$E$19:$AM$61,'Material impact data'!X$15,0)/VLOOKUP($H29,'Material impact data'!$E$19:$AM$61,4,0)*$I29</f>
        <v>0.151527</v>
      </c>
      <c r="Y29" s="138">
        <f>VLOOKUP($H29,'Material impact data'!$E$19:$AM$61,'Material impact data'!Y$15,0)/VLOOKUP($H29,'Material impact data'!$E$19:$AM$61,4,0)*$I29</f>
        <v>3.1925499999999998E-5</v>
      </c>
      <c r="Z29" s="180">
        <f>VLOOKUP($H29,'Material impact data'!$E$19:$AM$61,'Material impact data'!Z$15,0)/VLOOKUP($H29,'Material impact data'!$E$19:$AM$61,4,0)*$I29</f>
        <v>41.360199999999999</v>
      </c>
      <c r="AA29" s="180">
        <f>VLOOKUP($H29,'Material impact data'!$E$19:$AM$61,'Material impact data'!AA$15,0)/VLOOKUP($H29,'Material impact data'!$E$19:$AM$61,4,0)*$I29</f>
        <v>560.36399999999992</v>
      </c>
      <c r="AB29" s="180">
        <f>VLOOKUP($H29,'Material impact data'!$E$19:$AM$61,'Material impact data'!AB$15,0)/VLOOKUP($H29,'Material impact data'!$E$19:$AM$61,4,0)*$I29</f>
        <v>2.9352399999999997E-6</v>
      </c>
      <c r="AC29" s="180">
        <f>VLOOKUP($H29,'Material impact data'!$E$19:$AM$61,'Material impact data'!AC$15,0)/VLOOKUP($H29,'Material impact data'!$E$19:$AM$61,4,0)*$I29</f>
        <v>9.6252999999999991E-2</v>
      </c>
      <c r="AD29" s="180">
        <f>VLOOKUP($H29,'Material impact data'!$E$19:$AM$61,'Material impact data'!AD$15,0)/VLOOKUP($H29,'Material impact data'!$E$19:$AM$61,4,0)*$I29</f>
        <v>2.3157899999999999E-2</v>
      </c>
      <c r="AE29" s="180">
        <f>VLOOKUP($H29,'Material impact data'!$E$19:$AM$61,'Material impact data'!AE$15,0)/VLOOKUP($H29,'Material impact data'!$E$19:$AM$61,4,0)*$I29</f>
        <v>-3.2116100000000002E-2</v>
      </c>
      <c r="AF29" s="180">
        <f>VLOOKUP($H29,'Material impact data'!$E$19:$AM$61,'Material impact data'!AF$15,0)/VLOOKUP($H29,'Material impact data'!$E$19:$AM$61,4,0)*$I29</f>
        <v>6.8234799999999994E-15</v>
      </c>
      <c r="AG29" s="179">
        <f>VLOOKUP($H29,'Material impact data'!$E$19:$AM$61,'Material impact data'!AG$15,0)/VLOOKUP($H29,'Material impact data'!$E$19:$AM$61,4,0)*$I29</f>
        <v>0.17153999999999997</v>
      </c>
      <c r="AH29" s="179">
        <f>VLOOKUP($H29,'Material impact data'!$E$19:$AM$61,'Material impact data'!AH$15,0)/VLOOKUP($H29,'Material impact data'!$E$19:$AM$61,4,0)*$I29</f>
        <v>2.3443799999999997</v>
      </c>
      <c r="AI29" s="179">
        <f>VLOOKUP($H29,'Material impact data'!$E$19:$AM$61,'Material impact data'!AI$15,0)/VLOOKUP($H29,'Material impact data'!$E$19:$AM$61,4,0)*$I29</f>
        <v>6.2040299999999998E-6</v>
      </c>
      <c r="AJ29" s="179">
        <f>VLOOKUP($H29,'Material impact data'!$E$19:$AM$61,'Material impact data'!AJ$15,0)/VLOOKUP($H29,'Material impact data'!$E$19:$AM$61,4,0)*$I29</f>
        <v>7.3762199999999995E-4</v>
      </c>
      <c r="AK29" s="179">
        <f>VLOOKUP($H29,'Material impact data'!$E$19:$AM$61,'Material impact data'!AK$15,0)/VLOOKUP($H29,'Material impact data'!$E$19:$AM$61,4,0)*$I29</f>
        <v>3.0210099999999998E-3</v>
      </c>
      <c r="AL29" s="179">
        <f>VLOOKUP($H29,'Material impact data'!$E$19:$AM$61,'Material impact data'!AL$15,0)/VLOOKUP($H29,'Material impact data'!$E$19:$AM$61,4,0)*$I29</f>
        <v>1.4295000000000001E-4</v>
      </c>
      <c r="AM29" s="179">
        <f>VLOOKUP($H29,'Material impact data'!$E$19:$AM$61,'Material impact data'!AM$15,0)/VLOOKUP($H29,'Material impact data'!$E$19:$AM$61,4,0)*$I29</f>
        <v>1.1054799999999998E-8</v>
      </c>
      <c r="AO29" s="187">
        <f>M29/'Building &amp; Material inputs'!$C$18/'Building &amp; Material inputs'!$C$19</f>
        <v>0.14062597079838457</v>
      </c>
      <c r="AP29" s="187">
        <f>N29/'Building &amp; Material inputs'!$C$18/'Building &amp; Material inputs'!$C$19</f>
        <v>1.0361913637775708</v>
      </c>
      <c r="AQ29" s="139">
        <f>O29/'Building &amp; Material inputs'!$C$18/'Building &amp; Material inputs'!$C$19</f>
        <v>2.5312674743709226E-3</v>
      </c>
      <c r="AR29" s="139">
        <f>P29/'Building &amp; Material inputs'!$C$18/'Building &amp; Material inputs'!$C$19</f>
        <v>4.3668064616340478E-2</v>
      </c>
      <c r="AS29" s="170">
        <f>Q29/'Building &amp; Material inputs'!$C$18/'Building &amp; Material inputs'!$C$19</f>
        <v>0</v>
      </c>
      <c r="AT29" s="170">
        <f>R29/'Building &amp; Material inputs'!$C$18/'Building &amp; Material inputs'!$C$19</f>
        <v>8.9556539297918613E-5</v>
      </c>
      <c r="AU29" s="187">
        <f>S29/'Building &amp; Material inputs'!$C$18/'Building &amp; Material inputs'!$C$19</f>
        <v>0.20871854613233926</v>
      </c>
      <c r="AV29" s="187">
        <f>T29/'Building &amp; Material inputs'!$C$18/'Building &amp; Material inputs'!$C$19</f>
        <v>1.0065858962410688</v>
      </c>
      <c r="AW29" s="187">
        <f>U29/'Building &amp; Material inputs'!$C$18/'Building &amp; Material inputs'!$C$19</f>
        <v>5.1069431500465983E-8</v>
      </c>
      <c r="AX29" s="187">
        <f>V29/'Building &amp; Material inputs'!$C$18/'Building &amp; Material inputs'!$C$19</f>
        <v>3.2269959614787203E-4</v>
      </c>
      <c r="AY29" s="187">
        <f>W29/'Building &amp; Material inputs'!$C$18/'Building &amp; Material inputs'!$C$19</f>
        <v>1.0361913637775708E-4</v>
      </c>
      <c r="AZ29" s="187">
        <f>X29/'Building &amp; Material inputs'!$C$18/'Building &amp; Material inputs'!$C$19</f>
        <v>1.1768173345759554E-5</v>
      </c>
      <c r="BA29" s="187">
        <f>Y29/'Building &amp; Material inputs'!$C$18/'Building &amp; Material inputs'!$C$19</f>
        <v>2.4794579061820441E-9</v>
      </c>
      <c r="BB29" s="139">
        <f>Z29/'Building &amp; Material inputs'!$C$18/'Building &amp; Material inputs'!$C$19</f>
        <v>3.2121932277104693E-3</v>
      </c>
      <c r="BC29" s="139">
        <f>AA29/'Building &amp; Material inputs'!$C$18/'Building &amp; Material inputs'!$C$19</f>
        <v>4.3520037278657969E-2</v>
      </c>
      <c r="BD29" s="139">
        <f>AB29/'Building &amp; Material inputs'!$C$18/'Building &amp; Material inputs'!$C$19</f>
        <v>2.2796210003106555E-10</v>
      </c>
      <c r="BE29" s="139">
        <f>AC29/'Building &amp; Material inputs'!$C$18/'Building &amp; Material inputs'!$C$19</f>
        <v>7.4753805529667596E-6</v>
      </c>
      <c r="BF29" s="139">
        <f>AD29/'Building &amp; Material inputs'!$C$18/'Building &amp; Material inputs'!$C$19</f>
        <v>1.7985321528424977E-6</v>
      </c>
      <c r="BG29" s="139">
        <f>AE29/'Building &amp; Material inputs'!$C$18/'Building &amp; Material inputs'!$C$19</f>
        <v>-2.4942606399502956E-6</v>
      </c>
      <c r="BH29" s="139">
        <f>AF29/'Building &amp; Material inputs'!$C$18/'Building &amp; Material inputs'!$C$19</f>
        <v>5.2993786890338611E-19</v>
      </c>
      <c r="BI29" s="170">
        <f>AG29/'Building &amp; Material inputs'!$C$18/'Building &amp; Material inputs'!$C$19</f>
        <v>1.3322460391425908E-5</v>
      </c>
      <c r="BJ29" s="170">
        <f>AH29/'Building &amp; Material inputs'!$C$18/'Building &amp; Material inputs'!$C$19</f>
        <v>1.8207362534948741E-4</v>
      </c>
      <c r="BK29" s="170">
        <f>AI29/'Building &amp; Material inputs'!$C$18/'Building &amp; Material inputs'!$C$19</f>
        <v>4.8182898415657036E-10</v>
      </c>
      <c r="BL29" s="170">
        <f>AJ29/'Building &amp; Material inputs'!$C$18/'Building &amp; Material inputs'!$C$19</f>
        <v>5.72865796831314E-8</v>
      </c>
      <c r="BM29" s="170">
        <f>AK29/'Building &amp; Material inputs'!$C$18/'Building &amp; Material inputs'!$C$19</f>
        <v>2.3462333022677852E-7</v>
      </c>
      <c r="BN29" s="170">
        <f>AL29/'Building &amp; Material inputs'!$C$18/'Building &amp; Material inputs'!$C$19</f>
        <v>1.1102050326188257E-8</v>
      </c>
      <c r="BO29" s="170">
        <f>AM29/'Building &amp; Material inputs'!$C$18/'Building &amp; Material inputs'!$C$19</f>
        <v>8.585585585585584E-13</v>
      </c>
    </row>
    <row r="30" spans="2:67" x14ac:dyDescent="0.25">
      <c r="B30" s="334"/>
      <c r="C30" s="331"/>
      <c r="D30" s="331"/>
      <c r="E30" s="331"/>
      <c r="F30" s="15" t="s">
        <v>112</v>
      </c>
      <c r="G30" s="7" t="s">
        <v>20</v>
      </c>
      <c r="H30" s="7" t="str">
        <f>'Material quantities'!G31</f>
        <v>REB</v>
      </c>
      <c r="I30" s="38">
        <f>'Material quantities'!O31</f>
        <v>846.2639999999999</v>
      </c>
      <c r="J30" s="42" t="s">
        <v>15</v>
      </c>
      <c r="K30" s="2"/>
      <c r="L30" s="143">
        <f>VLOOKUP($H30,'Material impact data'!$E$19:$AM$61,6,0)/VLOOKUP($H30,'Material impact data'!$E$19:$AM$61,4,0)*$I30</f>
        <v>1523.2751999999998</v>
      </c>
      <c r="M30" s="138">
        <f>VLOOKUP($H30,'Material impact data'!$E$19:$AM$61,'Material impact data'!M$15,0)/VLOOKUP($H30,'Material impact data'!$E$19:$AM$61,4,0)*$I30</f>
        <v>1340.482176</v>
      </c>
      <c r="N30" s="138">
        <f>VLOOKUP($H30,'Material impact data'!$E$19:$AM$61,'Material impact data'!N$15,0)/VLOOKUP($H30,'Material impact data'!$E$19:$AM$61,4,0)*$I30</f>
        <v>6088.8694799999994</v>
      </c>
      <c r="O30" s="180">
        <f>VLOOKUP($H30,'Material impact data'!$E$19:$AM$61,'Material impact data'!O$15,0)/VLOOKUP($H30,'Material impact data'!$E$19:$AM$61,4,0)*$I30</f>
        <v>10.155168</v>
      </c>
      <c r="P30" s="180">
        <f>VLOOKUP($H30,'Material impact data'!$E$19:$AM$61,'Material impact data'!P$15,0)/VLOOKUP($H30,'Material impact data'!$E$19:$AM$61,4,0)*$I30</f>
        <v>555.14918399999999</v>
      </c>
      <c r="Q30" s="179">
        <f>VLOOKUP($H30,'Material impact data'!$E$19:$AM$61,'Material impact data'!Q$15,0)/VLOOKUP($H30,'Material impact data'!$E$19:$AM$61,4,0)*$I30</f>
        <v>0</v>
      </c>
      <c r="R30" s="179">
        <f>VLOOKUP($H30,'Material impact data'!$E$19:$AM$61,'Material impact data'!R$15,0)/VLOOKUP($H30,'Material impact data'!$E$19:$AM$61,4,0)*$I30</f>
        <v>2.5387919999999994E-2</v>
      </c>
      <c r="S30" s="138">
        <f>VLOOKUP($H30,'Material impact data'!$E$19:$AM$61,'Material impact data'!S$15,0)/VLOOKUP($H30,'Material impact data'!$E$19:$AM$61,4,0)*$I30</f>
        <v>445.98112799999996</v>
      </c>
      <c r="T30" s="138">
        <f>VLOOKUP($H30,'Material impact data'!$E$19:$AM$61,'Material impact data'!T$15,0)/VLOOKUP($H30,'Material impact data'!$E$19:$AM$61,4,0)*$I30</f>
        <v>5521.8725999999997</v>
      </c>
      <c r="U30" s="138">
        <f>VLOOKUP($H30,'Material impact data'!$E$19:$AM$61,'Material impact data'!U$15,0)/VLOOKUP($H30,'Material impact data'!$E$19:$AM$61,4,0)*$I30</f>
        <v>8.6259689519999983E-4</v>
      </c>
      <c r="V30" s="138">
        <f>VLOOKUP($H30,'Material impact data'!$E$19:$AM$61,'Material impact data'!V$15,0)/VLOOKUP($H30,'Material impact data'!$E$19:$AM$61,4,0)*$I30</f>
        <v>1.6925279999999998</v>
      </c>
      <c r="W30" s="138">
        <f>VLOOKUP($H30,'Material impact data'!$E$19:$AM$61,'Material impact data'!W$15,0)/VLOOKUP($H30,'Material impact data'!$E$19:$AM$61,4,0)*$I30</f>
        <v>0.72101692799999995</v>
      </c>
      <c r="X30" s="138">
        <f>VLOOKUP($H30,'Material impact data'!$E$19:$AM$61,'Material impact data'!X$15,0)/VLOOKUP($H30,'Material impact data'!$E$19:$AM$61,4,0)*$I30</f>
        <v>0.15909763199999996</v>
      </c>
      <c r="Y30" s="138">
        <f>VLOOKUP($H30,'Material impact data'!$E$19:$AM$61,'Material impact data'!Y$15,0)/VLOOKUP($H30,'Material impact data'!$E$19:$AM$61,4,0)*$I30</f>
        <v>4.5617014655999993E-5</v>
      </c>
      <c r="Z30" s="180">
        <f>VLOOKUP($H30,'Material impact data'!$E$19:$AM$61,'Material impact data'!Z$15,0)/VLOOKUP($H30,'Material impact data'!$E$19:$AM$61,4,0)*$I30</f>
        <v>34.696823999999999</v>
      </c>
      <c r="AA30" s="180">
        <f>VLOOKUP($H30,'Material impact data'!$E$19:$AM$61,'Material impact data'!AA$15,0)/VLOOKUP($H30,'Material impact data'!$E$19:$AM$61,4,0)*$I30</f>
        <v>537.37763999999993</v>
      </c>
      <c r="AB30" s="180">
        <f>VLOOKUP($H30,'Material impact data'!$E$19:$AM$61,'Material impact data'!AB$15,0)/VLOOKUP($H30,'Material impact data'!$E$19:$AM$61,4,0)*$I30</f>
        <v>6.0423249599999998E-5</v>
      </c>
      <c r="AC30" s="180">
        <f>VLOOKUP($H30,'Material impact data'!$E$19:$AM$61,'Material impact data'!AC$15,0)/VLOOKUP($H30,'Material impact data'!$E$19:$AM$61,4,0)*$I30</f>
        <v>0.20310335999999996</v>
      </c>
      <c r="AD30" s="180">
        <f>VLOOKUP($H30,'Material impact data'!$E$19:$AM$61,'Material impact data'!AD$15,0)/VLOOKUP($H30,'Material impact data'!$E$19:$AM$61,4,0)*$I30</f>
        <v>3.5543088E-2</v>
      </c>
      <c r="AE30" s="180">
        <f>VLOOKUP($H30,'Material impact data'!$E$19:$AM$61,'Material impact data'!AE$15,0)/VLOOKUP($H30,'Material impact data'!$E$19:$AM$61,4,0)*$I30</f>
        <v>7.6163759999999976E-3</v>
      </c>
      <c r="AF30" s="180">
        <f>VLOOKUP($H30,'Material impact data'!$E$19:$AM$61,'Material impact data'!AF$15,0)/VLOOKUP($H30,'Material impact data'!$E$19:$AM$61,4,0)*$I30</f>
        <v>6.6516350399999983E-6</v>
      </c>
      <c r="AG30" s="179">
        <f>VLOOKUP($H30,'Material impact data'!$E$19:$AM$61,'Material impact data'!AG$15,0)/VLOOKUP($H30,'Material impact data'!$E$19:$AM$61,4,0)*$I30</f>
        <v>7.1001549599999998E-5</v>
      </c>
      <c r="AH30" s="179">
        <f>VLOOKUP($H30,'Material impact data'!$E$19:$AM$61,'Material impact data'!AH$15,0)/VLOOKUP($H30,'Material impact data'!$E$19:$AM$61,4,0)*$I30</f>
        <v>8.4626399999999989E-4</v>
      </c>
      <c r="AI30" s="179">
        <f>VLOOKUP($H30,'Material impact data'!$E$19:$AM$61,'Material impact data'!AI$15,0)/VLOOKUP($H30,'Material impact data'!$E$19:$AM$61,4,0)*$I30</f>
        <v>2.6234183999999999E-9</v>
      </c>
      <c r="AJ30" s="179">
        <f>VLOOKUP($H30,'Material impact data'!$E$19:$AM$61,'Material impact data'!AJ$15,0)/VLOOKUP($H30,'Material impact data'!$E$19:$AM$61,4,0)*$I30</f>
        <v>3.1227141599999992E-7</v>
      </c>
      <c r="AK30" s="179">
        <f>VLOOKUP($H30,'Material impact data'!$E$19:$AM$61,'Material impact data'!AK$15,0)/VLOOKUP($H30,'Material impact data'!$E$19:$AM$61,4,0)*$I30</f>
        <v>1.2778586399999998E-6</v>
      </c>
      <c r="AL30" s="179">
        <f>VLOOKUP($H30,'Material impact data'!$E$19:$AM$61,'Material impact data'!AL$15,0)/VLOOKUP($H30,'Material impact data'!$E$19:$AM$61,4,0)*$I30</f>
        <v>6.0338623199999994E-8</v>
      </c>
      <c r="AM30" s="179">
        <f>VLOOKUP($H30,'Material impact data'!$E$19:$AM$61,'Material impact data'!AM$15,0)/VLOOKUP($H30,'Material impact data'!$E$19:$AM$61,4,0)*$I30</f>
        <v>4.6798399200000001E-12</v>
      </c>
      <c r="AO30" s="187">
        <f>M30/'Building &amp; Material inputs'!$C$18/'Building &amp; Material inputs'!$C$19</f>
        <v>0.10410703448275863</v>
      </c>
      <c r="AP30" s="187">
        <f>N30/'Building &amp; Material inputs'!$C$18/'Building &amp; Material inputs'!$C$19</f>
        <v>0.47288517241379308</v>
      </c>
      <c r="AQ30" s="139">
        <f>O30/'Building &amp; Material inputs'!$C$18/'Building &amp; Material inputs'!$C$19</f>
        <v>7.886896551724139E-4</v>
      </c>
      <c r="AR30" s="139">
        <f>P30/'Building &amp; Material inputs'!$C$18/'Building &amp; Material inputs'!$C$19</f>
        <v>4.3115034482758628E-2</v>
      </c>
      <c r="AS30" s="170">
        <f>Q30/'Building &amp; Material inputs'!$C$18/'Building &amp; Material inputs'!$C$19</f>
        <v>0</v>
      </c>
      <c r="AT30" s="170">
        <f>R30/'Building &amp; Material inputs'!$C$18/'Building &amp; Material inputs'!$C$19</f>
        <v>1.9717241379310344E-6</v>
      </c>
      <c r="AU30" s="187">
        <f>S30/'Building &amp; Material inputs'!$C$18/'Building &amp; Material inputs'!$C$19</f>
        <v>3.4636620689655173E-2</v>
      </c>
      <c r="AV30" s="187">
        <f>T30/'Building &amp; Material inputs'!$C$18/'Building &amp; Material inputs'!$C$19</f>
        <v>0.42884999999999995</v>
      </c>
      <c r="AW30" s="187">
        <f>U30/'Building &amp; Material inputs'!$C$18/'Building &amp; Material inputs'!$C$19</f>
        <v>6.699261379310344E-8</v>
      </c>
      <c r="AX30" s="187">
        <f>V30/'Building &amp; Material inputs'!$C$18/'Building &amp; Material inputs'!$C$19</f>
        <v>1.3144827586206897E-4</v>
      </c>
      <c r="AY30" s="187">
        <f>W30/'Building &amp; Material inputs'!$C$18/'Building &amp; Material inputs'!$C$19</f>
        <v>5.5996965517241378E-5</v>
      </c>
      <c r="AZ30" s="187">
        <f>X30/'Building &amp; Material inputs'!$C$18/'Building &amp; Material inputs'!$C$19</f>
        <v>1.2356137931034482E-5</v>
      </c>
      <c r="BA30" s="187">
        <f>Y30/'Building &amp; Material inputs'!$C$18/'Building &amp; Material inputs'!$C$19</f>
        <v>3.5427939310344823E-9</v>
      </c>
      <c r="BB30" s="139">
        <f>Z30/'Building &amp; Material inputs'!$C$18/'Building &amp; Material inputs'!$C$19</f>
        <v>2.6946896551724143E-3</v>
      </c>
      <c r="BC30" s="139">
        <f>AA30/'Building &amp; Material inputs'!$C$18/'Building &amp; Material inputs'!$C$19</f>
        <v>4.1734827586206898E-2</v>
      </c>
      <c r="BD30" s="139">
        <f>AB30/'Building &amp; Material inputs'!$C$18/'Building &amp; Material inputs'!$C$19</f>
        <v>4.692703448275862E-9</v>
      </c>
      <c r="BE30" s="139">
        <f>AC30/'Building &amp; Material inputs'!$C$18/'Building &amp; Material inputs'!$C$19</f>
        <v>1.5773793103448275E-5</v>
      </c>
      <c r="BF30" s="139">
        <f>AD30/'Building &amp; Material inputs'!$C$18/'Building &amp; Material inputs'!$C$19</f>
        <v>2.7604137931034484E-6</v>
      </c>
      <c r="BG30" s="139">
        <f>AE30/'Building &amp; Material inputs'!$C$18/'Building &amp; Material inputs'!$C$19</f>
        <v>5.9151724137931018E-7</v>
      </c>
      <c r="BH30" s="139">
        <f>AF30/'Building &amp; Material inputs'!$C$18/'Building &amp; Material inputs'!$C$19</f>
        <v>5.1659172413793088E-10</v>
      </c>
      <c r="BI30" s="170">
        <f>AG30/'Building &amp; Material inputs'!$C$18/'Building &amp; Material inputs'!$C$19</f>
        <v>5.5142551724137938E-9</v>
      </c>
      <c r="BJ30" s="170">
        <f>AH30/'Building &amp; Material inputs'!$C$18/'Building &amp; Material inputs'!$C$19</f>
        <v>6.5724137931034483E-8</v>
      </c>
      <c r="BK30" s="170">
        <f>AI30/'Building &amp; Material inputs'!$C$18/'Building &amp; Material inputs'!$C$19</f>
        <v>2.037448275862069E-13</v>
      </c>
      <c r="BL30" s="170">
        <f>AJ30/'Building &amp; Material inputs'!$C$18/'Building &amp; Material inputs'!$C$19</f>
        <v>2.4252206896551721E-11</v>
      </c>
      <c r="BM30" s="170">
        <f>AK30/'Building &amp; Material inputs'!$C$18/'Building &amp; Material inputs'!$C$19</f>
        <v>9.9243448275862057E-11</v>
      </c>
      <c r="BN30" s="170">
        <f>AL30/'Building &amp; Material inputs'!$C$18/'Building &amp; Material inputs'!$C$19</f>
        <v>4.6861310344827587E-12</v>
      </c>
      <c r="BO30" s="170">
        <f>AM30/'Building &amp; Material inputs'!$C$18/'Building &amp; Material inputs'!$C$19</f>
        <v>3.6345448275862075E-16</v>
      </c>
    </row>
    <row r="31" spans="2:67" x14ac:dyDescent="0.25">
      <c r="B31" s="334"/>
      <c r="C31" s="331"/>
      <c r="D31" s="331"/>
      <c r="E31" s="332"/>
      <c r="F31" s="15" t="s">
        <v>455</v>
      </c>
      <c r="G31" s="7" t="s">
        <v>447</v>
      </c>
      <c r="H31" s="7" t="str">
        <f>'Material quantities'!G32</f>
        <v>CON0</v>
      </c>
      <c r="I31" s="38">
        <f>'Material quantities'!O32</f>
        <v>2.387</v>
      </c>
      <c r="J31" s="42" t="s">
        <v>14</v>
      </c>
      <c r="K31" s="2"/>
      <c r="L31" s="143">
        <f>VLOOKUP($H31,'Material impact data'!$E$19:$AM$61,6,0)/VLOOKUP($H31,'Material impact data'!$E$19:$AM$61,4,0)*$I31</f>
        <v>208.95798000000002</v>
      </c>
      <c r="M31" s="138">
        <f>VLOOKUP($H31,'Material impact data'!$E$19:$AM$61,'Material impact data'!M$15,0)/VLOOKUP($H31,'Material impact data'!$E$19:$AM$61,4,0)*$I31</f>
        <v>75.644030000000001</v>
      </c>
      <c r="N31" s="138">
        <f>VLOOKUP($H31,'Material impact data'!$E$19:$AM$61,'Material impact data'!N$15,0)/VLOOKUP($H31,'Material impact data'!$E$19:$AM$61,4,0)*$I31</f>
        <v>2144.2420999999999</v>
      </c>
      <c r="O31" s="180">
        <f>VLOOKUP($H31,'Material impact data'!$E$19:$AM$61,'Material impact data'!O$15,0)/VLOOKUP($H31,'Material impact data'!$E$19:$AM$61,4,0)*$I31</f>
        <v>2.1693055999999999</v>
      </c>
      <c r="P31" s="180">
        <f>VLOOKUP($H31,'Material impact data'!$E$19:$AM$61,'Material impact data'!P$15,0)/VLOOKUP($H31,'Material impact data'!$E$19:$AM$61,4,0)*$I31</f>
        <v>68.554639999999992</v>
      </c>
      <c r="Q31" s="179">
        <f>VLOOKUP($H31,'Material impact data'!$E$19:$AM$61,'Material impact data'!Q$15,0)/VLOOKUP($H31,'Material impact data'!$E$19:$AM$61,4,0)*$I31</f>
        <v>1.6556232</v>
      </c>
      <c r="R31" s="179">
        <f>VLOOKUP($H31,'Material impact data'!$E$19:$AM$61,'Material impact data'!R$15,0)/VLOOKUP($H31,'Material impact data'!$E$19:$AM$61,4,0)*$I31</f>
        <v>99.991430000000008</v>
      </c>
      <c r="S31" s="138">
        <f>VLOOKUP($H31,'Material impact data'!$E$19:$AM$61,'Material impact data'!S$15,0)/VLOOKUP($H31,'Material impact data'!$E$19:$AM$61,4,0)*$I31</f>
        <v>303.62639999999999</v>
      </c>
      <c r="T31" s="138">
        <f>VLOOKUP($H31,'Material impact data'!$E$19:$AM$61,'Material impact data'!T$15,0)/VLOOKUP($H31,'Material impact data'!$E$19:$AM$61,4,0)*$I31</f>
        <v>2137.0810999999999</v>
      </c>
      <c r="U31" s="138">
        <f>VLOOKUP($H31,'Material impact data'!$E$19:$AM$61,'Material impact data'!U$15,0)/VLOOKUP($H31,'Material impact data'!$E$19:$AM$61,4,0)*$I31</f>
        <v>7.85323E-6</v>
      </c>
      <c r="V31" s="138">
        <f>VLOOKUP($H31,'Material impact data'!$E$19:$AM$61,'Material impact data'!V$15,0)/VLOOKUP($H31,'Material impact data'!$E$19:$AM$61,4,0)*$I31</f>
        <v>0.61871039999999999</v>
      </c>
      <c r="W31" s="138">
        <f>VLOOKUP($H31,'Material impact data'!$E$19:$AM$61,'Material impact data'!W$15,0)/VLOOKUP($H31,'Material impact data'!$E$19:$AM$61,4,0)*$I31</f>
        <v>2.6853749999999999E-2</v>
      </c>
      <c r="X31" s="138">
        <f>VLOOKUP($H31,'Material impact data'!$E$19:$AM$61,'Material impact data'!X$15,0)/VLOOKUP($H31,'Material impact data'!$E$19:$AM$61,4,0)*$I31</f>
        <v>0.54089419999999999</v>
      </c>
      <c r="Y31" s="138">
        <f>VLOOKUP($H31,'Material impact data'!$E$19:$AM$61,'Material impact data'!Y$15,0)/VLOOKUP($H31,'Material impact data'!$E$19:$AM$61,4,0)*$I31</f>
        <v>7.2564800000000002E-6</v>
      </c>
      <c r="Z31" s="180">
        <f>VLOOKUP($H31,'Material impact data'!$E$19:$AM$61,'Material impact data'!Z$15,0)/VLOOKUP($H31,'Material impact data'!$E$19:$AM$61,4,0)*$I31</f>
        <v>4.8599319999999997</v>
      </c>
      <c r="AA31" s="180">
        <f>VLOOKUP($H31,'Material impact data'!$E$19:$AM$61,'Material impact data'!AA$15,0)/VLOOKUP($H31,'Material impact data'!$E$19:$AM$61,4,0)*$I31</f>
        <v>68.554639999999992</v>
      </c>
      <c r="AB31" s="180">
        <f>VLOOKUP($H31,'Material impact data'!$E$19:$AM$61,'Material impact data'!AB$15,0)/VLOOKUP($H31,'Material impact data'!$E$19:$AM$61,4,0)*$I31</f>
        <v>3.1627750000000001E-7</v>
      </c>
      <c r="AC31" s="180">
        <f>VLOOKUP($H31,'Material impact data'!$E$19:$AM$61,'Material impact data'!AC$15,0)/VLOOKUP($H31,'Material impact data'!$E$19:$AM$61,4,0)*$I31</f>
        <v>1.2080607E-2</v>
      </c>
      <c r="AD31" s="180">
        <f>VLOOKUP($H31,'Material impact data'!$E$19:$AM$61,'Material impact data'!AD$15,0)/VLOOKUP($H31,'Material impact data'!$E$19:$AM$61,4,0)*$I31</f>
        <v>3.597209E-5</v>
      </c>
      <c r="AE31" s="180">
        <f>VLOOKUP($H31,'Material impact data'!$E$19:$AM$61,'Material impact data'!AE$15,0)/VLOOKUP($H31,'Material impact data'!$E$19:$AM$61,4,0)*$I31</f>
        <v>5.979435E-3</v>
      </c>
      <c r="AF31" s="180">
        <f>VLOOKUP($H31,'Material impact data'!$E$19:$AM$61,'Material impact data'!AF$15,0)/VLOOKUP($H31,'Material impact data'!$E$19:$AM$61,4,0)*$I31</f>
        <v>1.1476696000000001E-6</v>
      </c>
      <c r="AG31" s="179">
        <f>VLOOKUP($H31,'Material impact data'!$E$19:$AM$61,'Material impact data'!AG$15,0)/VLOOKUP($H31,'Material impact data'!$E$19:$AM$61,4,0)*$I31</f>
        <v>9.4071669999999994</v>
      </c>
      <c r="AH31" s="179">
        <f>VLOOKUP($H31,'Material impact data'!$E$19:$AM$61,'Material impact data'!AH$15,0)/VLOOKUP($H31,'Material impact data'!$E$19:$AM$61,4,0)*$I31</f>
        <v>99.872080000000011</v>
      </c>
      <c r="AI31" s="179">
        <f>VLOOKUP($H31,'Material impact data'!$E$19:$AM$61,'Material impact data'!AI$15,0)/VLOOKUP($H31,'Material impact data'!$E$19:$AM$61,4,0)*$I31</f>
        <v>3.6115310000000005E-7</v>
      </c>
      <c r="AJ31" s="179">
        <f>VLOOKUP($H31,'Material impact data'!$E$19:$AM$61,'Material impact data'!AJ$15,0)/VLOOKUP($H31,'Material impact data'!$E$19:$AM$61,4,0)*$I31</f>
        <v>5.327784E-2</v>
      </c>
      <c r="AK31" s="179">
        <f>VLOOKUP($H31,'Material impact data'!$E$19:$AM$61,'Material impact data'!AK$15,0)/VLOOKUP($H31,'Material impact data'!$E$19:$AM$61,4,0)*$I31</f>
        <v>6.3374850000000001E-4</v>
      </c>
      <c r="AL31" s="179">
        <f>VLOOKUP($H31,'Material impact data'!$E$19:$AM$61,'Material impact data'!AL$15,0)/VLOOKUP($H31,'Material impact data'!$E$19:$AM$61,4,0)*$I31</f>
        <v>5.9173730000000001E-2</v>
      </c>
      <c r="AM31" s="179">
        <f>VLOOKUP($H31,'Material impact data'!$E$19:$AM$61,'Material impact data'!AM$15,0)/VLOOKUP($H31,'Material impact data'!$E$19:$AM$61,4,0)*$I31</f>
        <v>1.0696147000000001E-6</v>
      </c>
      <c r="AO31" s="187">
        <f>M31/'Building &amp; Material inputs'!$C$18/'Building &amp; Material inputs'!$C$19</f>
        <v>5.8748081702392051E-3</v>
      </c>
      <c r="AP31" s="187">
        <f>N31/'Building &amp; Material inputs'!$C$18/'Building &amp; Material inputs'!$C$19</f>
        <v>0.16653014134824481</v>
      </c>
      <c r="AQ31" s="139">
        <f>O31/'Building &amp; Material inputs'!$C$18/'Building &amp; Material inputs'!$C$19</f>
        <v>1.6847666977322151E-4</v>
      </c>
      <c r="AR31" s="139">
        <f>P31/'Building &amp; Material inputs'!$C$18/'Building &amp; Material inputs'!$C$19</f>
        <v>5.3242187014600805E-3</v>
      </c>
      <c r="AS31" s="170">
        <f>Q31/'Building &amp; Material inputs'!$C$18/'Building &amp; Material inputs'!$C$19</f>
        <v>1.2858210624417521E-4</v>
      </c>
      <c r="AT31" s="170">
        <f>R31/'Building &amp; Material inputs'!$C$18/'Building &amp; Material inputs'!$C$19</f>
        <v>7.7657214973594294E-3</v>
      </c>
      <c r="AU31" s="187">
        <f>S31/'Building &amp; Material inputs'!$C$18/'Building &amp; Material inputs'!$C$19</f>
        <v>2.358080149114632E-2</v>
      </c>
      <c r="AV31" s="187">
        <f>T31/'Building &amp; Material inputs'!$C$18/'Building &amp; Material inputs'!$C$19</f>
        <v>0.16597399036968002</v>
      </c>
      <c r="AW31" s="187">
        <f>U31/'Building &amp; Material inputs'!$C$18/'Building &amp; Material inputs'!$C$19</f>
        <v>6.0991223982603292E-10</v>
      </c>
      <c r="AX31" s="187">
        <f>V31/'Building &amp; Material inputs'!$C$18/'Building &amp; Material inputs'!$C$19</f>
        <v>4.8051444547996279E-5</v>
      </c>
      <c r="AY31" s="187">
        <f>W31/'Building &amp; Material inputs'!$C$18/'Building &amp; Material inputs'!$C$19</f>
        <v>2.085566169617894E-6</v>
      </c>
      <c r="AZ31" s="187">
        <f>X31/'Building &amp; Material inputs'!$C$18/'Building &amp; Material inputs'!$C$19</f>
        <v>4.2007937247592429E-5</v>
      </c>
      <c r="BA31" s="187">
        <f>Y31/'Building &amp; Material inputs'!$C$18/'Building &amp; Material inputs'!$C$19</f>
        <v>5.6356632494563533E-10</v>
      </c>
      <c r="BB31" s="139">
        <f>Z31/'Building &amp; Material inputs'!$C$18/'Building &amp; Material inputs'!$C$19</f>
        <v>3.774411307859584E-4</v>
      </c>
      <c r="BC31" s="139">
        <f>AA31/'Building &amp; Material inputs'!$C$18/'Building &amp; Material inputs'!$C$19</f>
        <v>5.3242187014600805E-3</v>
      </c>
      <c r="BD31" s="139">
        <f>AB31/'Building &amp; Material inputs'!$C$18/'Building &amp; Material inputs'!$C$19</f>
        <v>2.456333488661075E-11</v>
      </c>
      <c r="BE31" s="139">
        <f>AC31/'Building &amp; Material inputs'!$C$18/'Building &amp; Material inputs'!$C$19</f>
        <v>9.3822670083876987E-7</v>
      </c>
      <c r="BF31" s="139">
        <f>AD31/'Building &amp; Material inputs'!$C$18/'Building &amp; Material inputs'!$C$19</f>
        <v>2.7937317489903696E-9</v>
      </c>
      <c r="BG31" s="139">
        <f>AE31/'Building &amp; Material inputs'!$C$18/'Building &amp; Material inputs'!$C$19</f>
        <v>4.6438606710158436E-7</v>
      </c>
      <c r="BH31" s="139">
        <f>AF31/'Building &amp; Material inputs'!$C$18/'Building &amp; Material inputs'!$C$19</f>
        <v>8.9132463497980759E-11</v>
      </c>
      <c r="BI31" s="170">
        <f>AG31/'Building &amp; Material inputs'!$C$18/'Building &amp; Material inputs'!$C$19</f>
        <v>7.3059700217458835E-4</v>
      </c>
      <c r="BJ31" s="170">
        <f>AH31/'Building &amp; Material inputs'!$C$18/'Building &amp; Material inputs'!$C$19</f>
        <v>7.7564523143833506E-3</v>
      </c>
      <c r="BK31" s="170">
        <f>AI31/'Building &amp; Material inputs'!$C$18/'Building &amp; Material inputs'!$C$19</f>
        <v>2.8048547685616655E-11</v>
      </c>
      <c r="BL31" s="170">
        <f>AJ31/'Building &amp; Material inputs'!$C$18/'Building &amp; Material inputs'!$C$19</f>
        <v>4.1377632805219013E-6</v>
      </c>
      <c r="BM31" s="170">
        <f>AK31/'Building &amp; Material inputs'!$C$18/'Building &amp; Material inputs'!$C$19</f>
        <v>4.9219361602982292E-8</v>
      </c>
      <c r="BN31" s="170">
        <f>AL31/'Building &amp; Material inputs'!$C$18/'Building &amp; Material inputs'!$C$19</f>
        <v>4.5956609195402301E-6</v>
      </c>
      <c r="BO31" s="170">
        <f>AM31/'Building &amp; Material inputs'!$C$18/'Building &amp; Material inputs'!$C$19</f>
        <v>8.3070417831624736E-11</v>
      </c>
    </row>
    <row r="32" spans="2:67" x14ac:dyDescent="0.25">
      <c r="B32" s="334"/>
      <c r="C32" s="331"/>
      <c r="D32" s="331"/>
      <c r="E32" s="330" t="s">
        <v>84</v>
      </c>
      <c r="F32" s="15" t="s">
        <v>113</v>
      </c>
      <c r="G32" s="7" t="s">
        <v>19</v>
      </c>
      <c r="H32" s="7" t="str">
        <f>'Material quantities'!G33</f>
        <v>CON1</v>
      </c>
      <c r="I32" s="38">
        <f>'Material quantities'!O33</f>
        <v>0</v>
      </c>
      <c r="J32" s="42" t="s">
        <v>14</v>
      </c>
      <c r="K32" s="2"/>
      <c r="L32" s="143">
        <f>VLOOKUP($H32,'Material impact data'!$E$19:$AM$61,6,0)/VLOOKUP($H32,'Material impact data'!$E$19:$AM$61,4,0)*$I32</f>
        <v>0</v>
      </c>
      <c r="M32" s="138">
        <f>VLOOKUP($H32,'Material impact data'!$E$19:$AM$61,'Material impact data'!M$15,0)/VLOOKUP($H32,'Material impact data'!$E$19:$AM$61,4,0)*$I32</f>
        <v>0</v>
      </c>
      <c r="N32" s="138">
        <f>VLOOKUP($H32,'Material impact data'!$E$19:$AM$61,'Material impact data'!N$15,0)/VLOOKUP($H32,'Material impact data'!$E$19:$AM$61,4,0)*$I32</f>
        <v>0</v>
      </c>
      <c r="O32" s="180">
        <f>VLOOKUP($H32,'Material impact data'!$E$19:$AM$61,'Material impact data'!O$15,0)/VLOOKUP($H32,'Material impact data'!$E$19:$AM$61,4,0)*$I32</f>
        <v>0</v>
      </c>
      <c r="P32" s="180">
        <f>VLOOKUP($H32,'Material impact data'!$E$19:$AM$61,'Material impact data'!P$15,0)/VLOOKUP($H32,'Material impact data'!$E$19:$AM$61,4,0)*$I32</f>
        <v>0</v>
      </c>
      <c r="Q32" s="179">
        <f>VLOOKUP($H32,'Material impact data'!$E$19:$AM$61,'Material impact data'!Q$15,0)/VLOOKUP($H32,'Material impact data'!$E$19:$AM$61,4,0)*$I32</f>
        <v>0</v>
      </c>
      <c r="R32" s="179">
        <f>VLOOKUP($H32,'Material impact data'!$E$19:$AM$61,'Material impact data'!R$15,0)/VLOOKUP($H32,'Material impact data'!$E$19:$AM$61,4,0)*$I32</f>
        <v>0</v>
      </c>
      <c r="S32" s="138">
        <f>VLOOKUP($H32,'Material impact data'!$E$19:$AM$61,'Material impact data'!S$15,0)/VLOOKUP($H32,'Material impact data'!$E$19:$AM$61,4,0)*$I32</f>
        <v>0</v>
      </c>
      <c r="T32" s="138">
        <f>VLOOKUP($H32,'Material impact data'!$E$19:$AM$61,'Material impact data'!T$15,0)/VLOOKUP($H32,'Material impact data'!$E$19:$AM$61,4,0)*$I32</f>
        <v>0</v>
      </c>
      <c r="U32" s="138">
        <f>VLOOKUP($H32,'Material impact data'!$E$19:$AM$61,'Material impact data'!U$15,0)/VLOOKUP($H32,'Material impact data'!$E$19:$AM$61,4,0)*$I32</f>
        <v>0</v>
      </c>
      <c r="V32" s="138">
        <f>VLOOKUP($H32,'Material impact data'!$E$19:$AM$61,'Material impact data'!V$15,0)/VLOOKUP($H32,'Material impact data'!$E$19:$AM$61,4,0)*$I32</f>
        <v>0</v>
      </c>
      <c r="W32" s="138">
        <f>VLOOKUP($H32,'Material impact data'!$E$19:$AM$61,'Material impact data'!W$15,0)/VLOOKUP($H32,'Material impact data'!$E$19:$AM$61,4,0)*$I32</f>
        <v>0</v>
      </c>
      <c r="X32" s="138">
        <f>VLOOKUP($H32,'Material impact data'!$E$19:$AM$61,'Material impact data'!X$15,0)/VLOOKUP($H32,'Material impact data'!$E$19:$AM$61,4,0)*$I32</f>
        <v>0</v>
      </c>
      <c r="Y32" s="138">
        <f>VLOOKUP($H32,'Material impact data'!$E$19:$AM$61,'Material impact data'!Y$15,0)/VLOOKUP($H32,'Material impact data'!$E$19:$AM$61,4,0)*$I32</f>
        <v>0</v>
      </c>
      <c r="Z32" s="180">
        <f>VLOOKUP($H32,'Material impact data'!$E$19:$AM$61,'Material impact data'!Z$15,0)/VLOOKUP($H32,'Material impact data'!$E$19:$AM$61,4,0)*$I32</f>
        <v>0</v>
      </c>
      <c r="AA32" s="180">
        <f>VLOOKUP($H32,'Material impact data'!$E$19:$AM$61,'Material impact data'!AA$15,0)/VLOOKUP($H32,'Material impact data'!$E$19:$AM$61,4,0)*$I32</f>
        <v>0</v>
      </c>
      <c r="AB32" s="180">
        <f>VLOOKUP($H32,'Material impact data'!$E$19:$AM$61,'Material impact data'!AB$15,0)/VLOOKUP($H32,'Material impact data'!$E$19:$AM$61,4,0)*$I32</f>
        <v>0</v>
      </c>
      <c r="AC32" s="180">
        <f>VLOOKUP($H32,'Material impact data'!$E$19:$AM$61,'Material impact data'!AC$15,0)/VLOOKUP($H32,'Material impact data'!$E$19:$AM$61,4,0)*$I32</f>
        <v>0</v>
      </c>
      <c r="AD32" s="180">
        <f>VLOOKUP($H32,'Material impact data'!$E$19:$AM$61,'Material impact data'!AD$15,0)/VLOOKUP($H32,'Material impact data'!$E$19:$AM$61,4,0)*$I32</f>
        <v>0</v>
      </c>
      <c r="AE32" s="180">
        <f>VLOOKUP($H32,'Material impact data'!$E$19:$AM$61,'Material impact data'!AE$15,0)/VLOOKUP($H32,'Material impact data'!$E$19:$AM$61,4,0)*$I32</f>
        <v>0</v>
      </c>
      <c r="AF32" s="180">
        <f>VLOOKUP($H32,'Material impact data'!$E$19:$AM$61,'Material impact data'!AF$15,0)/VLOOKUP($H32,'Material impact data'!$E$19:$AM$61,4,0)*$I32</f>
        <v>0</v>
      </c>
      <c r="AG32" s="179">
        <f>VLOOKUP($H32,'Material impact data'!$E$19:$AM$61,'Material impact data'!AG$15,0)/VLOOKUP($H32,'Material impact data'!$E$19:$AM$61,4,0)*$I32</f>
        <v>0</v>
      </c>
      <c r="AH32" s="179">
        <f>VLOOKUP($H32,'Material impact data'!$E$19:$AM$61,'Material impact data'!AH$15,0)/VLOOKUP($H32,'Material impact data'!$E$19:$AM$61,4,0)*$I32</f>
        <v>0</v>
      </c>
      <c r="AI32" s="179">
        <f>VLOOKUP($H32,'Material impact data'!$E$19:$AM$61,'Material impact data'!AI$15,0)/VLOOKUP($H32,'Material impact data'!$E$19:$AM$61,4,0)*$I32</f>
        <v>0</v>
      </c>
      <c r="AJ32" s="179">
        <f>VLOOKUP($H32,'Material impact data'!$E$19:$AM$61,'Material impact data'!AJ$15,0)/VLOOKUP($H32,'Material impact data'!$E$19:$AM$61,4,0)*$I32</f>
        <v>0</v>
      </c>
      <c r="AK32" s="179">
        <f>VLOOKUP($H32,'Material impact data'!$E$19:$AM$61,'Material impact data'!AK$15,0)/VLOOKUP($H32,'Material impact data'!$E$19:$AM$61,4,0)*$I32</f>
        <v>0</v>
      </c>
      <c r="AL32" s="179">
        <f>VLOOKUP($H32,'Material impact data'!$E$19:$AM$61,'Material impact data'!AL$15,0)/VLOOKUP($H32,'Material impact data'!$E$19:$AM$61,4,0)*$I32</f>
        <v>0</v>
      </c>
      <c r="AM32" s="179">
        <f>VLOOKUP($H32,'Material impact data'!$E$19:$AM$61,'Material impact data'!AM$15,0)/VLOOKUP($H32,'Material impact data'!$E$19:$AM$61,4,0)*$I32</f>
        <v>0</v>
      </c>
      <c r="AO32" s="187">
        <f>M32/'Building &amp; Material inputs'!$C$18/'Building &amp; Material inputs'!$C$19</f>
        <v>0</v>
      </c>
      <c r="AP32" s="187">
        <f>N32/'Building &amp; Material inputs'!$C$18/'Building &amp; Material inputs'!$C$19</f>
        <v>0</v>
      </c>
      <c r="AQ32" s="139">
        <f>O32/'Building &amp; Material inputs'!$C$18/'Building &amp; Material inputs'!$C$19</f>
        <v>0</v>
      </c>
      <c r="AR32" s="139">
        <f>P32/'Building &amp; Material inputs'!$C$18/'Building &amp; Material inputs'!$C$19</f>
        <v>0</v>
      </c>
      <c r="AS32" s="170">
        <f>Q32/'Building &amp; Material inputs'!$C$18/'Building &amp; Material inputs'!$C$19</f>
        <v>0</v>
      </c>
      <c r="AT32" s="170">
        <f>R32/'Building &amp; Material inputs'!$C$18/'Building &amp; Material inputs'!$C$19</f>
        <v>0</v>
      </c>
      <c r="AU32" s="187">
        <f>S32/'Building &amp; Material inputs'!$C$18/'Building &amp; Material inputs'!$C$19</f>
        <v>0</v>
      </c>
      <c r="AV32" s="187">
        <f>T32/'Building &amp; Material inputs'!$C$18/'Building &amp; Material inputs'!$C$19</f>
        <v>0</v>
      </c>
      <c r="AW32" s="187">
        <f>U32/'Building &amp; Material inputs'!$C$18/'Building &amp; Material inputs'!$C$19</f>
        <v>0</v>
      </c>
      <c r="AX32" s="187">
        <f>V32/'Building &amp; Material inputs'!$C$18/'Building &amp; Material inputs'!$C$19</f>
        <v>0</v>
      </c>
      <c r="AY32" s="187">
        <f>W32/'Building &amp; Material inputs'!$C$18/'Building &amp; Material inputs'!$C$19</f>
        <v>0</v>
      </c>
      <c r="AZ32" s="187">
        <f>X32/'Building &amp; Material inputs'!$C$18/'Building &amp; Material inputs'!$C$19</f>
        <v>0</v>
      </c>
      <c r="BA32" s="187">
        <f>Y32/'Building &amp; Material inputs'!$C$18/'Building &amp; Material inputs'!$C$19</f>
        <v>0</v>
      </c>
      <c r="BB32" s="139">
        <f>Z32/'Building &amp; Material inputs'!$C$18/'Building &amp; Material inputs'!$C$19</f>
        <v>0</v>
      </c>
      <c r="BC32" s="139">
        <f>AA32/'Building &amp; Material inputs'!$C$18/'Building &amp; Material inputs'!$C$19</f>
        <v>0</v>
      </c>
      <c r="BD32" s="139">
        <f>AB32/'Building &amp; Material inputs'!$C$18/'Building &amp; Material inputs'!$C$19</f>
        <v>0</v>
      </c>
      <c r="BE32" s="139">
        <f>AC32/'Building &amp; Material inputs'!$C$18/'Building &amp; Material inputs'!$C$19</f>
        <v>0</v>
      </c>
      <c r="BF32" s="139">
        <f>AD32/'Building &amp; Material inputs'!$C$18/'Building &amp; Material inputs'!$C$19</f>
        <v>0</v>
      </c>
      <c r="BG32" s="139">
        <f>AE32/'Building &amp; Material inputs'!$C$18/'Building &amp; Material inputs'!$C$19</f>
        <v>0</v>
      </c>
      <c r="BH32" s="139">
        <f>AF32/'Building &amp; Material inputs'!$C$18/'Building &amp; Material inputs'!$C$19</f>
        <v>0</v>
      </c>
      <c r="BI32" s="170">
        <f>AG32/'Building &amp; Material inputs'!$C$18/'Building &amp; Material inputs'!$C$19</f>
        <v>0</v>
      </c>
      <c r="BJ32" s="170">
        <f>AH32/'Building &amp; Material inputs'!$C$18/'Building &amp; Material inputs'!$C$19</f>
        <v>0</v>
      </c>
      <c r="BK32" s="170">
        <f>AI32/'Building &amp; Material inputs'!$C$18/'Building &amp; Material inputs'!$C$19</f>
        <v>0</v>
      </c>
      <c r="BL32" s="170">
        <f>AJ32/'Building &amp; Material inputs'!$C$18/'Building &amp; Material inputs'!$C$19</f>
        <v>0</v>
      </c>
      <c r="BM32" s="170">
        <f>AK32/'Building &amp; Material inputs'!$C$18/'Building &amp; Material inputs'!$C$19</f>
        <v>0</v>
      </c>
      <c r="BN32" s="170">
        <f>AL32/'Building &amp; Material inputs'!$C$18/'Building &amp; Material inputs'!$C$19</f>
        <v>0</v>
      </c>
      <c r="BO32" s="170">
        <f>AM32/'Building &amp; Material inputs'!$C$18/'Building &amp; Material inputs'!$C$19</f>
        <v>0</v>
      </c>
    </row>
    <row r="33" spans="2:67" x14ac:dyDescent="0.25">
      <c r="B33" s="334"/>
      <c r="C33" s="331"/>
      <c r="D33" s="331"/>
      <c r="E33" s="331"/>
      <c r="F33" s="15" t="s">
        <v>114</v>
      </c>
      <c r="G33" s="7" t="s">
        <v>20</v>
      </c>
      <c r="H33" s="7" t="str">
        <f>'Material quantities'!G34</f>
        <v>REB</v>
      </c>
      <c r="I33" s="38">
        <f>'Material quantities'!O34</f>
        <v>0</v>
      </c>
      <c r="J33" s="42" t="s">
        <v>15</v>
      </c>
      <c r="K33" s="2"/>
      <c r="L33" s="143">
        <f>VLOOKUP($H33,'Material impact data'!$E$19:$AM$61,6,0)/VLOOKUP($H33,'Material impact data'!$E$19:$AM$61,4,0)*$I33</f>
        <v>0</v>
      </c>
      <c r="M33" s="138">
        <f>VLOOKUP($H33,'Material impact data'!$E$19:$AM$61,'Material impact data'!M$15,0)/VLOOKUP($H33,'Material impact data'!$E$19:$AM$61,4,0)*$I33</f>
        <v>0</v>
      </c>
      <c r="N33" s="138">
        <f>VLOOKUP($H33,'Material impact data'!$E$19:$AM$61,'Material impact data'!N$15,0)/VLOOKUP($H33,'Material impact data'!$E$19:$AM$61,4,0)*$I33</f>
        <v>0</v>
      </c>
      <c r="O33" s="180">
        <f>VLOOKUP($H33,'Material impact data'!$E$19:$AM$61,'Material impact data'!O$15,0)/VLOOKUP($H33,'Material impact data'!$E$19:$AM$61,4,0)*$I33</f>
        <v>0</v>
      </c>
      <c r="P33" s="180">
        <f>VLOOKUP($H33,'Material impact data'!$E$19:$AM$61,'Material impact data'!P$15,0)/VLOOKUP($H33,'Material impact data'!$E$19:$AM$61,4,0)*$I33</f>
        <v>0</v>
      </c>
      <c r="Q33" s="179">
        <f>VLOOKUP($H33,'Material impact data'!$E$19:$AM$61,'Material impact data'!Q$15,0)/VLOOKUP($H33,'Material impact data'!$E$19:$AM$61,4,0)*$I33</f>
        <v>0</v>
      </c>
      <c r="R33" s="179">
        <f>VLOOKUP($H33,'Material impact data'!$E$19:$AM$61,'Material impact data'!R$15,0)/VLOOKUP($H33,'Material impact data'!$E$19:$AM$61,4,0)*$I33</f>
        <v>0</v>
      </c>
      <c r="S33" s="138">
        <f>VLOOKUP($H33,'Material impact data'!$E$19:$AM$61,'Material impact data'!S$15,0)/VLOOKUP($H33,'Material impact data'!$E$19:$AM$61,4,0)*$I33</f>
        <v>0</v>
      </c>
      <c r="T33" s="138">
        <f>VLOOKUP($H33,'Material impact data'!$E$19:$AM$61,'Material impact data'!T$15,0)/VLOOKUP($H33,'Material impact data'!$E$19:$AM$61,4,0)*$I33</f>
        <v>0</v>
      </c>
      <c r="U33" s="138">
        <f>VLOOKUP($H33,'Material impact data'!$E$19:$AM$61,'Material impact data'!U$15,0)/VLOOKUP($H33,'Material impact data'!$E$19:$AM$61,4,0)*$I33</f>
        <v>0</v>
      </c>
      <c r="V33" s="138">
        <f>VLOOKUP($H33,'Material impact data'!$E$19:$AM$61,'Material impact data'!V$15,0)/VLOOKUP($H33,'Material impact data'!$E$19:$AM$61,4,0)*$I33</f>
        <v>0</v>
      </c>
      <c r="W33" s="138">
        <f>VLOOKUP($H33,'Material impact data'!$E$19:$AM$61,'Material impact data'!W$15,0)/VLOOKUP($H33,'Material impact data'!$E$19:$AM$61,4,0)*$I33</f>
        <v>0</v>
      </c>
      <c r="X33" s="138">
        <f>VLOOKUP($H33,'Material impact data'!$E$19:$AM$61,'Material impact data'!X$15,0)/VLOOKUP($H33,'Material impact data'!$E$19:$AM$61,4,0)*$I33</f>
        <v>0</v>
      </c>
      <c r="Y33" s="138">
        <f>VLOOKUP($H33,'Material impact data'!$E$19:$AM$61,'Material impact data'!Y$15,0)/VLOOKUP($H33,'Material impact data'!$E$19:$AM$61,4,0)*$I33</f>
        <v>0</v>
      </c>
      <c r="Z33" s="180">
        <f>VLOOKUP($H33,'Material impact data'!$E$19:$AM$61,'Material impact data'!Z$15,0)/VLOOKUP($H33,'Material impact data'!$E$19:$AM$61,4,0)*$I33</f>
        <v>0</v>
      </c>
      <c r="AA33" s="180">
        <f>VLOOKUP($H33,'Material impact data'!$E$19:$AM$61,'Material impact data'!AA$15,0)/VLOOKUP($H33,'Material impact data'!$E$19:$AM$61,4,0)*$I33</f>
        <v>0</v>
      </c>
      <c r="AB33" s="180">
        <f>VLOOKUP($H33,'Material impact data'!$E$19:$AM$61,'Material impact data'!AB$15,0)/VLOOKUP($H33,'Material impact data'!$E$19:$AM$61,4,0)*$I33</f>
        <v>0</v>
      </c>
      <c r="AC33" s="180">
        <f>VLOOKUP($H33,'Material impact data'!$E$19:$AM$61,'Material impact data'!AC$15,0)/VLOOKUP($H33,'Material impact data'!$E$19:$AM$61,4,0)*$I33</f>
        <v>0</v>
      </c>
      <c r="AD33" s="180">
        <f>VLOOKUP($H33,'Material impact data'!$E$19:$AM$61,'Material impact data'!AD$15,0)/VLOOKUP($H33,'Material impact data'!$E$19:$AM$61,4,0)*$I33</f>
        <v>0</v>
      </c>
      <c r="AE33" s="180">
        <f>VLOOKUP($H33,'Material impact data'!$E$19:$AM$61,'Material impact data'!AE$15,0)/VLOOKUP($H33,'Material impact data'!$E$19:$AM$61,4,0)*$I33</f>
        <v>0</v>
      </c>
      <c r="AF33" s="180">
        <f>VLOOKUP($H33,'Material impact data'!$E$19:$AM$61,'Material impact data'!AF$15,0)/VLOOKUP($H33,'Material impact data'!$E$19:$AM$61,4,0)*$I33</f>
        <v>0</v>
      </c>
      <c r="AG33" s="179">
        <f>VLOOKUP($H33,'Material impact data'!$E$19:$AM$61,'Material impact data'!AG$15,0)/VLOOKUP($H33,'Material impact data'!$E$19:$AM$61,4,0)*$I33</f>
        <v>0</v>
      </c>
      <c r="AH33" s="179">
        <f>VLOOKUP($H33,'Material impact data'!$E$19:$AM$61,'Material impact data'!AH$15,0)/VLOOKUP($H33,'Material impact data'!$E$19:$AM$61,4,0)*$I33</f>
        <v>0</v>
      </c>
      <c r="AI33" s="179">
        <f>VLOOKUP($H33,'Material impact data'!$E$19:$AM$61,'Material impact data'!AI$15,0)/VLOOKUP($H33,'Material impact data'!$E$19:$AM$61,4,0)*$I33</f>
        <v>0</v>
      </c>
      <c r="AJ33" s="179">
        <f>VLOOKUP($H33,'Material impact data'!$E$19:$AM$61,'Material impact data'!AJ$15,0)/VLOOKUP($H33,'Material impact data'!$E$19:$AM$61,4,0)*$I33</f>
        <v>0</v>
      </c>
      <c r="AK33" s="179">
        <f>VLOOKUP($H33,'Material impact data'!$E$19:$AM$61,'Material impact data'!AK$15,0)/VLOOKUP($H33,'Material impact data'!$E$19:$AM$61,4,0)*$I33</f>
        <v>0</v>
      </c>
      <c r="AL33" s="179">
        <f>VLOOKUP($H33,'Material impact data'!$E$19:$AM$61,'Material impact data'!AL$15,0)/VLOOKUP($H33,'Material impact data'!$E$19:$AM$61,4,0)*$I33</f>
        <v>0</v>
      </c>
      <c r="AM33" s="179">
        <f>VLOOKUP($H33,'Material impact data'!$E$19:$AM$61,'Material impact data'!AM$15,0)/VLOOKUP($H33,'Material impact data'!$E$19:$AM$61,4,0)*$I33</f>
        <v>0</v>
      </c>
      <c r="AO33" s="187">
        <f>M33/'Building &amp; Material inputs'!$C$18/'Building &amp; Material inputs'!$C$19</f>
        <v>0</v>
      </c>
      <c r="AP33" s="187">
        <f>N33/'Building &amp; Material inputs'!$C$18/'Building &amp; Material inputs'!$C$19</f>
        <v>0</v>
      </c>
      <c r="AQ33" s="139">
        <f>O33/'Building &amp; Material inputs'!$C$18/'Building &amp; Material inputs'!$C$19</f>
        <v>0</v>
      </c>
      <c r="AR33" s="139">
        <f>P33/'Building &amp; Material inputs'!$C$18/'Building &amp; Material inputs'!$C$19</f>
        <v>0</v>
      </c>
      <c r="AS33" s="170">
        <f>Q33/'Building &amp; Material inputs'!$C$18/'Building &amp; Material inputs'!$C$19</f>
        <v>0</v>
      </c>
      <c r="AT33" s="170">
        <f>R33/'Building &amp; Material inputs'!$C$18/'Building &amp; Material inputs'!$C$19</f>
        <v>0</v>
      </c>
      <c r="AU33" s="187">
        <f>S33/'Building &amp; Material inputs'!$C$18/'Building &amp; Material inputs'!$C$19</f>
        <v>0</v>
      </c>
      <c r="AV33" s="187">
        <f>T33/'Building &amp; Material inputs'!$C$18/'Building &amp; Material inputs'!$C$19</f>
        <v>0</v>
      </c>
      <c r="AW33" s="187">
        <f>U33/'Building &amp; Material inputs'!$C$18/'Building &amp; Material inputs'!$C$19</f>
        <v>0</v>
      </c>
      <c r="AX33" s="187">
        <f>V33/'Building &amp; Material inputs'!$C$18/'Building &amp; Material inputs'!$C$19</f>
        <v>0</v>
      </c>
      <c r="AY33" s="187">
        <f>W33/'Building &amp; Material inputs'!$C$18/'Building &amp; Material inputs'!$C$19</f>
        <v>0</v>
      </c>
      <c r="AZ33" s="187">
        <f>X33/'Building &amp; Material inputs'!$C$18/'Building &amp; Material inputs'!$C$19</f>
        <v>0</v>
      </c>
      <c r="BA33" s="187">
        <f>Y33/'Building &amp; Material inputs'!$C$18/'Building &amp; Material inputs'!$C$19</f>
        <v>0</v>
      </c>
      <c r="BB33" s="139">
        <f>Z33/'Building &amp; Material inputs'!$C$18/'Building &amp; Material inputs'!$C$19</f>
        <v>0</v>
      </c>
      <c r="BC33" s="139">
        <f>AA33/'Building &amp; Material inputs'!$C$18/'Building &amp; Material inputs'!$C$19</f>
        <v>0</v>
      </c>
      <c r="BD33" s="139">
        <f>AB33/'Building &amp; Material inputs'!$C$18/'Building &amp; Material inputs'!$C$19</f>
        <v>0</v>
      </c>
      <c r="BE33" s="139">
        <f>AC33/'Building &amp; Material inputs'!$C$18/'Building &amp; Material inputs'!$C$19</f>
        <v>0</v>
      </c>
      <c r="BF33" s="139">
        <f>AD33/'Building &amp; Material inputs'!$C$18/'Building &amp; Material inputs'!$C$19</f>
        <v>0</v>
      </c>
      <c r="BG33" s="139">
        <f>AE33/'Building &amp; Material inputs'!$C$18/'Building &amp; Material inputs'!$C$19</f>
        <v>0</v>
      </c>
      <c r="BH33" s="139">
        <f>AF33/'Building &amp; Material inputs'!$C$18/'Building &amp; Material inputs'!$C$19</f>
        <v>0</v>
      </c>
      <c r="BI33" s="170">
        <f>AG33/'Building &amp; Material inputs'!$C$18/'Building &amp; Material inputs'!$C$19</f>
        <v>0</v>
      </c>
      <c r="BJ33" s="170">
        <f>AH33/'Building &amp; Material inputs'!$C$18/'Building &amp; Material inputs'!$C$19</f>
        <v>0</v>
      </c>
      <c r="BK33" s="170">
        <f>AI33/'Building &amp; Material inputs'!$C$18/'Building &amp; Material inputs'!$C$19</f>
        <v>0</v>
      </c>
      <c r="BL33" s="170">
        <f>AJ33/'Building &amp; Material inputs'!$C$18/'Building &amp; Material inputs'!$C$19</f>
        <v>0</v>
      </c>
      <c r="BM33" s="170">
        <f>AK33/'Building &amp; Material inputs'!$C$18/'Building &amp; Material inputs'!$C$19</f>
        <v>0</v>
      </c>
      <c r="BN33" s="170">
        <f>AL33/'Building &amp; Material inputs'!$C$18/'Building &amp; Material inputs'!$C$19</f>
        <v>0</v>
      </c>
      <c r="BO33" s="170">
        <f>AM33/'Building &amp; Material inputs'!$C$18/'Building &amp; Material inputs'!$C$19</f>
        <v>0</v>
      </c>
    </row>
    <row r="34" spans="2:67" x14ac:dyDescent="0.25">
      <c r="B34" s="334"/>
      <c r="C34" s="331"/>
      <c r="D34" s="332"/>
      <c r="E34" s="332"/>
      <c r="F34" s="15" t="s">
        <v>456</v>
      </c>
      <c r="G34" s="7" t="s">
        <v>447</v>
      </c>
      <c r="H34" s="7" t="str">
        <f>'Material quantities'!G35</f>
        <v>CON0</v>
      </c>
      <c r="I34" s="38">
        <f>'Material quantities'!O35</f>
        <v>0</v>
      </c>
      <c r="J34" s="42" t="s">
        <v>14</v>
      </c>
      <c r="K34" s="2"/>
      <c r="L34" s="143">
        <f>VLOOKUP($H34,'Material impact data'!$E$19:$AM$61,6,0)/VLOOKUP($H34,'Material impact data'!$E$19:$AM$61,4,0)*$I34</f>
        <v>0</v>
      </c>
      <c r="M34" s="138">
        <f>VLOOKUP($H34,'Material impact data'!$E$19:$AM$61,'Material impact data'!M$15,0)/VLOOKUP($H34,'Material impact data'!$E$19:$AM$61,4,0)*$I34</f>
        <v>0</v>
      </c>
      <c r="N34" s="138">
        <f>VLOOKUP($H34,'Material impact data'!$E$19:$AM$61,'Material impact data'!N$15,0)/VLOOKUP($H34,'Material impact data'!$E$19:$AM$61,4,0)*$I34</f>
        <v>0</v>
      </c>
      <c r="O34" s="180">
        <f>VLOOKUP($H34,'Material impact data'!$E$19:$AM$61,'Material impact data'!O$15,0)/VLOOKUP($H34,'Material impact data'!$E$19:$AM$61,4,0)*$I34</f>
        <v>0</v>
      </c>
      <c r="P34" s="180">
        <f>VLOOKUP($H34,'Material impact data'!$E$19:$AM$61,'Material impact data'!P$15,0)/VLOOKUP($H34,'Material impact data'!$E$19:$AM$61,4,0)*$I34</f>
        <v>0</v>
      </c>
      <c r="Q34" s="179">
        <f>VLOOKUP($H34,'Material impact data'!$E$19:$AM$61,'Material impact data'!Q$15,0)/VLOOKUP($H34,'Material impact data'!$E$19:$AM$61,4,0)*$I34</f>
        <v>0</v>
      </c>
      <c r="R34" s="179">
        <f>VLOOKUP($H34,'Material impact data'!$E$19:$AM$61,'Material impact data'!R$15,0)/VLOOKUP($H34,'Material impact data'!$E$19:$AM$61,4,0)*$I34</f>
        <v>0</v>
      </c>
      <c r="S34" s="138">
        <f>VLOOKUP($H34,'Material impact data'!$E$19:$AM$61,'Material impact data'!S$15,0)/VLOOKUP($H34,'Material impact data'!$E$19:$AM$61,4,0)*$I34</f>
        <v>0</v>
      </c>
      <c r="T34" s="138">
        <f>VLOOKUP($H34,'Material impact data'!$E$19:$AM$61,'Material impact data'!T$15,0)/VLOOKUP($H34,'Material impact data'!$E$19:$AM$61,4,0)*$I34</f>
        <v>0</v>
      </c>
      <c r="U34" s="138">
        <f>VLOOKUP($H34,'Material impact data'!$E$19:$AM$61,'Material impact data'!U$15,0)/VLOOKUP($H34,'Material impact data'!$E$19:$AM$61,4,0)*$I34</f>
        <v>0</v>
      </c>
      <c r="V34" s="138">
        <f>VLOOKUP($H34,'Material impact data'!$E$19:$AM$61,'Material impact data'!V$15,0)/VLOOKUP($H34,'Material impact data'!$E$19:$AM$61,4,0)*$I34</f>
        <v>0</v>
      </c>
      <c r="W34" s="138">
        <f>VLOOKUP($H34,'Material impact data'!$E$19:$AM$61,'Material impact data'!W$15,0)/VLOOKUP($H34,'Material impact data'!$E$19:$AM$61,4,0)*$I34</f>
        <v>0</v>
      </c>
      <c r="X34" s="138">
        <f>VLOOKUP($H34,'Material impact data'!$E$19:$AM$61,'Material impact data'!X$15,0)/VLOOKUP($H34,'Material impact data'!$E$19:$AM$61,4,0)*$I34</f>
        <v>0</v>
      </c>
      <c r="Y34" s="138">
        <f>VLOOKUP($H34,'Material impact data'!$E$19:$AM$61,'Material impact data'!Y$15,0)/VLOOKUP($H34,'Material impact data'!$E$19:$AM$61,4,0)*$I34</f>
        <v>0</v>
      </c>
      <c r="Z34" s="180">
        <f>VLOOKUP($H34,'Material impact data'!$E$19:$AM$61,'Material impact data'!Z$15,0)/VLOOKUP($H34,'Material impact data'!$E$19:$AM$61,4,0)*$I34</f>
        <v>0</v>
      </c>
      <c r="AA34" s="180">
        <f>VLOOKUP($H34,'Material impact data'!$E$19:$AM$61,'Material impact data'!AA$15,0)/VLOOKUP($H34,'Material impact data'!$E$19:$AM$61,4,0)*$I34</f>
        <v>0</v>
      </c>
      <c r="AB34" s="180">
        <f>VLOOKUP($H34,'Material impact data'!$E$19:$AM$61,'Material impact data'!AB$15,0)/VLOOKUP($H34,'Material impact data'!$E$19:$AM$61,4,0)*$I34</f>
        <v>0</v>
      </c>
      <c r="AC34" s="180">
        <f>VLOOKUP($H34,'Material impact data'!$E$19:$AM$61,'Material impact data'!AC$15,0)/VLOOKUP($H34,'Material impact data'!$E$19:$AM$61,4,0)*$I34</f>
        <v>0</v>
      </c>
      <c r="AD34" s="180">
        <f>VLOOKUP($H34,'Material impact data'!$E$19:$AM$61,'Material impact data'!AD$15,0)/VLOOKUP($H34,'Material impact data'!$E$19:$AM$61,4,0)*$I34</f>
        <v>0</v>
      </c>
      <c r="AE34" s="180">
        <f>VLOOKUP($H34,'Material impact data'!$E$19:$AM$61,'Material impact data'!AE$15,0)/VLOOKUP($H34,'Material impact data'!$E$19:$AM$61,4,0)*$I34</f>
        <v>0</v>
      </c>
      <c r="AF34" s="180">
        <f>VLOOKUP($H34,'Material impact data'!$E$19:$AM$61,'Material impact data'!AF$15,0)/VLOOKUP($H34,'Material impact data'!$E$19:$AM$61,4,0)*$I34</f>
        <v>0</v>
      </c>
      <c r="AG34" s="179">
        <f>VLOOKUP($H34,'Material impact data'!$E$19:$AM$61,'Material impact data'!AG$15,0)/VLOOKUP($H34,'Material impact data'!$E$19:$AM$61,4,0)*$I34</f>
        <v>0</v>
      </c>
      <c r="AH34" s="179">
        <f>VLOOKUP($H34,'Material impact data'!$E$19:$AM$61,'Material impact data'!AH$15,0)/VLOOKUP($H34,'Material impact data'!$E$19:$AM$61,4,0)*$I34</f>
        <v>0</v>
      </c>
      <c r="AI34" s="179">
        <f>VLOOKUP($H34,'Material impact data'!$E$19:$AM$61,'Material impact data'!AI$15,0)/VLOOKUP($H34,'Material impact data'!$E$19:$AM$61,4,0)*$I34</f>
        <v>0</v>
      </c>
      <c r="AJ34" s="179">
        <f>VLOOKUP($H34,'Material impact data'!$E$19:$AM$61,'Material impact data'!AJ$15,0)/VLOOKUP($H34,'Material impact data'!$E$19:$AM$61,4,0)*$I34</f>
        <v>0</v>
      </c>
      <c r="AK34" s="179">
        <f>VLOOKUP($H34,'Material impact data'!$E$19:$AM$61,'Material impact data'!AK$15,0)/VLOOKUP($H34,'Material impact data'!$E$19:$AM$61,4,0)*$I34</f>
        <v>0</v>
      </c>
      <c r="AL34" s="179">
        <f>VLOOKUP($H34,'Material impact data'!$E$19:$AM$61,'Material impact data'!AL$15,0)/VLOOKUP($H34,'Material impact data'!$E$19:$AM$61,4,0)*$I34</f>
        <v>0</v>
      </c>
      <c r="AM34" s="179">
        <f>VLOOKUP($H34,'Material impact data'!$E$19:$AM$61,'Material impact data'!AM$15,0)/VLOOKUP($H34,'Material impact data'!$E$19:$AM$61,4,0)*$I34</f>
        <v>0</v>
      </c>
      <c r="AO34" s="187">
        <f>M34/'Building &amp; Material inputs'!$C$18/'Building &amp; Material inputs'!$C$19</f>
        <v>0</v>
      </c>
      <c r="AP34" s="187">
        <f>N34/'Building &amp; Material inputs'!$C$18/'Building &amp; Material inputs'!$C$19</f>
        <v>0</v>
      </c>
      <c r="AQ34" s="139">
        <f>O34/'Building &amp; Material inputs'!$C$18/'Building &amp; Material inputs'!$C$19</f>
        <v>0</v>
      </c>
      <c r="AR34" s="139">
        <f>P34/'Building &amp; Material inputs'!$C$18/'Building &amp; Material inputs'!$C$19</f>
        <v>0</v>
      </c>
      <c r="AS34" s="170">
        <f>Q34/'Building &amp; Material inputs'!$C$18/'Building &amp; Material inputs'!$C$19</f>
        <v>0</v>
      </c>
      <c r="AT34" s="170">
        <f>R34/'Building &amp; Material inputs'!$C$18/'Building &amp; Material inputs'!$C$19</f>
        <v>0</v>
      </c>
      <c r="AU34" s="187">
        <f>S34/'Building &amp; Material inputs'!$C$18/'Building &amp; Material inputs'!$C$19</f>
        <v>0</v>
      </c>
      <c r="AV34" s="187">
        <f>T34/'Building &amp; Material inputs'!$C$18/'Building &amp; Material inputs'!$C$19</f>
        <v>0</v>
      </c>
      <c r="AW34" s="187">
        <f>U34/'Building &amp; Material inputs'!$C$18/'Building &amp; Material inputs'!$C$19</f>
        <v>0</v>
      </c>
      <c r="AX34" s="187">
        <f>V34/'Building &amp; Material inputs'!$C$18/'Building &amp; Material inputs'!$C$19</f>
        <v>0</v>
      </c>
      <c r="AY34" s="187">
        <f>W34/'Building &amp; Material inputs'!$C$18/'Building &amp; Material inputs'!$C$19</f>
        <v>0</v>
      </c>
      <c r="AZ34" s="187">
        <f>X34/'Building &amp; Material inputs'!$C$18/'Building &amp; Material inputs'!$C$19</f>
        <v>0</v>
      </c>
      <c r="BA34" s="187">
        <f>Y34/'Building &amp; Material inputs'!$C$18/'Building &amp; Material inputs'!$C$19</f>
        <v>0</v>
      </c>
      <c r="BB34" s="139">
        <f>Z34/'Building &amp; Material inputs'!$C$18/'Building &amp; Material inputs'!$C$19</f>
        <v>0</v>
      </c>
      <c r="BC34" s="139">
        <f>AA34/'Building &amp; Material inputs'!$C$18/'Building &amp; Material inputs'!$C$19</f>
        <v>0</v>
      </c>
      <c r="BD34" s="139">
        <f>AB34/'Building &amp; Material inputs'!$C$18/'Building &amp; Material inputs'!$C$19</f>
        <v>0</v>
      </c>
      <c r="BE34" s="139">
        <f>AC34/'Building &amp; Material inputs'!$C$18/'Building &amp; Material inputs'!$C$19</f>
        <v>0</v>
      </c>
      <c r="BF34" s="139">
        <f>AD34/'Building &amp; Material inputs'!$C$18/'Building &amp; Material inputs'!$C$19</f>
        <v>0</v>
      </c>
      <c r="BG34" s="139">
        <f>AE34/'Building &amp; Material inputs'!$C$18/'Building &amp; Material inputs'!$C$19</f>
        <v>0</v>
      </c>
      <c r="BH34" s="139">
        <f>AF34/'Building &amp; Material inputs'!$C$18/'Building &amp; Material inputs'!$C$19</f>
        <v>0</v>
      </c>
      <c r="BI34" s="170">
        <f>AG34/'Building &amp; Material inputs'!$C$18/'Building &amp; Material inputs'!$C$19</f>
        <v>0</v>
      </c>
      <c r="BJ34" s="170">
        <f>AH34/'Building &amp; Material inputs'!$C$18/'Building &amp; Material inputs'!$C$19</f>
        <v>0</v>
      </c>
      <c r="BK34" s="170">
        <f>AI34/'Building &amp; Material inputs'!$C$18/'Building &amp; Material inputs'!$C$19</f>
        <v>0</v>
      </c>
      <c r="BL34" s="170">
        <f>AJ34/'Building &amp; Material inputs'!$C$18/'Building &amp; Material inputs'!$C$19</f>
        <v>0</v>
      </c>
      <c r="BM34" s="170">
        <f>AK34/'Building &amp; Material inputs'!$C$18/'Building &amp; Material inputs'!$C$19</f>
        <v>0</v>
      </c>
      <c r="BN34" s="170">
        <f>AL34/'Building &amp; Material inputs'!$C$18/'Building &amp; Material inputs'!$C$19</f>
        <v>0</v>
      </c>
      <c r="BO34" s="170">
        <f>AM34/'Building &amp; Material inputs'!$C$18/'Building &amp; Material inputs'!$C$19</f>
        <v>0</v>
      </c>
    </row>
    <row r="35" spans="2:67" x14ac:dyDescent="0.25">
      <c r="B35" s="334"/>
      <c r="C35" s="331"/>
      <c r="D35" s="334" t="s">
        <v>117</v>
      </c>
      <c r="E35" s="334"/>
      <c r="F35" s="15" t="s">
        <v>115</v>
      </c>
      <c r="G35" s="7" t="s">
        <v>19</v>
      </c>
      <c r="H35" s="7" t="str">
        <f>'Material quantities'!G36</f>
        <v>CON3</v>
      </c>
      <c r="I35" s="38">
        <f>'Material quantities'!O36</f>
        <v>0</v>
      </c>
      <c r="J35" s="42" t="s">
        <v>14</v>
      </c>
      <c r="K35" s="2"/>
      <c r="L35" s="143">
        <f>VLOOKUP($H35,'Material impact data'!$E$19:$AM$61,6,0)/VLOOKUP($H35,'Material impact data'!$E$19:$AM$61,4,0)*$I35</f>
        <v>0</v>
      </c>
      <c r="M35" s="138">
        <f>VLOOKUP($H35,'Material impact data'!$E$19:$AM$61,'Material impact data'!M$15,0)/VLOOKUP($H35,'Material impact data'!$E$19:$AM$61,4,0)*$I35</f>
        <v>0</v>
      </c>
      <c r="N35" s="138">
        <f>VLOOKUP($H35,'Material impact data'!$E$19:$AM$61,'Material impact data'!N$15,0)/VLOOKUP($H35,'Material impact data'!$E$19:$AM$61,4,0)*$I35</f>
        <v>0</v>
      </c>
      <c r="O35" s="180">
        <f>VLOOKUP($H35,'Material impact data'!$E$19:$AM$61,'Material impact data'!O$15,0)/VLOOKUP($H35,'Material impact data'!$E$19:$AM$61,4,0)*$I35</f>
        <v>0</v>
      </c>
      <c r="P35" s="180">
        <f>VLOOKUP($H35,'Material impact data'!$E$19:$AM$61,'Material impact data'!P$15,0)/VLOOKUP($H35,'Material impact data'!$E$19:$AM$61,4,0)*$I35</f>
        <v>0</v>
      </c>
      <c r="Q35" s="179">
        <f>VLOOKUP($H35,'Material impact data'!$E$19:$AM$61,'Material impact data'!Q$15,0)/VLOOKUP($H35,'Material impact data'!$E$19:$AM$61,4,0)*$I35</f>
        <v>0</v>
      </c>
      <c r="R35" s="179">
        <f>VLOOKUP($H35,'Material impact data'!$E$19:$AM$61,'Material impact data'!R$15,0)/VLOOKUP($H35,'Material impact data'!$E$19:$AM$61,4,0)*$I35</f>
        <v>0</v>
      </c>
      <c r="S35" s="138">
        <f>VLOOKUP($H35,'Material impact data'!$E$19:$AM$61,'Material impact data'!S$15,0)/VLOOKUP($H35,'Material impact data'!$E$19:$AM$61,4,0)*$I35</f>
        <v>0</v>
      </c>
      <c r="T35" s="138">
        <f>VLOOKUP($H35,'Material impact data'!$E$19:$AM$61,'Material impact data'!T$15,0)/VLOOKUP($H35,'Material impact data'!$E$19:$AM$61,4,0)*$I35</f>
        <v>0</v>
      </c>
      <c r="U35" s="138">
        <f>VLOOKUP($H35,'Material impact data'!$E$19:$AM$61,'Material impact data'!U$15,0)/VLOOKUP($H35,'Material impact data'!$E$19:$AM$61,4,0)*$I35</f>
        <v>0</v>
      </c>
      <c r="V35" s="138">
        <f>VLOOKUP($H35,'Material impact data'!$E$19:$AM$61,'Material impact data'!V$15,0)/VLOOKUP($H35,'Material impact data'!$E$19:$AM$61,4,0)*$I35</f>
        <v>0</v>
      </c>
      <c r="W35" s="138">
        <f>VLOOKUP($H35,'Material impact data'!$E$19:$AM$61,'Material impact data'!W$15,0)/VLOOKUP($H35,'Material impact data'!$E$19:$AM$61,4,0)*$I35</f>
        <v>0</v>
      </c>
      <c r="X35" s="138">
        <f>VLOOKUP($H35,'Material impact data'!$E$19:$AM$61,'Material impact data'!X$15,0)/VLOOKUP($H35,'Material impact data'!$E$19:$AM$61,4,0)*$I35</f>
        <v>0</v>
      </c>
      <c r="Y35" s="138">
        <f>VLOOKUP($H35,'Material impact data'!$E$19:$AM$61,'Material impact data'!Y$15,0)/VLOOKUP($H35,'Material impact data'!$E$19:$AM$61,4,0)*$I35</f>
        <v>0</v>
      </c>
      <c r="Z35" s="180">
        <f>VLOOKUP($H35,'Material impact data'!$E$19:$AM$61,'Material impact data'!Z$15,0)/VLOOKUP($H35,'Material impact data'!$E$19:$AM$61,4,0)*$I35</f>
        <v>0</v>
      </c>
      <c r="AA35" s="180">
        <f>VLOOKUP($H35,'Material impact data'!$E$19:$AM$61,'Material impact data'!AA$15,0)/VLOOKUP($H35,'Material impact data'!$E$19:$AM$61,4,0)*$I35</f>
        <v>0</v>
      </c>
      <c r="AB35" s="180">
        <f>VLOOKUP($H35,'Material impact data'!$E$19:$AM$61,'Material impact data'!AB$15,0)/VLOOKUP($H35,'Material impact data'!$E$19:$AM$61,4,0)*$I35</f>
        <v>0</v>
      </c>
      <c r="AC35" s="180">
        <f>VLOOKUP($H35,'Material impact data'!$E$19:$AM$61,'Material impact data'!AC$15,0)/VLOOKUP($H35,'Material impact data'!$E$19:$AM$61,4,0)*$I35</f>
        <v>0</v>
      </c>
      <c r="AD35" s="180">
        <f>VLOOKUP($H35,'Material impact data'!$E$19:$AM$61,'Material impact data'!AD$15,0)/VLOOKUP($H35,'Material impact data'!$E$19:$AM$61,4,0)*$I35</f>
        <v>0</v>
      </c>
      <c r="AE35" s="180">
        <f>VLOOKUP($H35,'Material impact data'!$E$19:$AM$61,'Material impact data'!AE$15,0)/VLOOKUP($H35,'Material impact data'!$E$19:$AM$61,4,0)*$I35</f>
        <v>0</v>
      </c>
      <c r="AF35" s="180">
        <f>VLOOKUP($H35,'Material impact data'!$E$19:$AM$61,'Material impact data'!AF$15,0)/VLOOKUP($H35,'Material impact data'!$E$19:$AM$61,4,0)*$I35</f>
        <v>0</v>
      </c>
      <c r="AG35" s="179">
        <f>VLOOKUP($H35,'Material impact data'!$E$19:$AM$61,'Material impact data'!AG$15,0)/VLOOKUP($H35,'Material impact data'!$E$19:$AM$61,4,0)*$I35</f>
        <v>0</v>
      </c>
      <c r="AH35" s="179">
        <f>VLOOKUP($H35,'Material impact data'!$E$19:$AM$61,'Material impact data'!AH$15,0)/VLOOKUP($H35,'Material impact data'!$E$19:$AM$61,4,0)*$I35</f>
        <v>0</v>
      </c>
      <c r="AI35" s="179">
        <f>VLOOKUP($H35,'Material impact data'!$E$19:$AM$61,'Material impact data'!AI$15,0)/VLOOKUP($H35,'Material impact data'!$E$19:$AM$61,4,0)*$I35</f>
        <v>0</v>
      </c>
      <c r="AJ35" s="179">
        <f>VLOOKUP($H35,'Material impact data'!$E$19:$AM$61,'Material impact data'!AJ$15,0)/VLOOKUP($H35,'Material impact data'!$E$19:$AM$61,4,0)*$I35</f>
        <v>0</v>
      </c>
      <c r="AK35" s="179">
        <f>VLOOKUP($H35,'Material impact data'!$E$19:$AM$61,'Material impact data'!AK$15,0)/VLOOKUP($H35,'Material impact data'!$E$19:$AM$61,4,0)*$I35</f>
        <v>0</v>
      </c>
      <c r="AL35" s="179">
        <f>VLOOKUP($H35,'Material impact data'!$E$19:$AM$61,'Material impact data'!AL$15,0)/VLOOKUP($H35,'Material impact data'!$E$19:$AM$61,4,0)*$I35</f>
        <v>0</v>
      </c>
      <c r="AM35" s="179">
        <f>VLOOKUP($H35,'Material impact data'!$E$19:$AM$61,'Material impact data'!AM$15,0)/VLOOKUP($H35,'Material impact data'!$E$19:$AM$61,4,0)*$I35</f>
        <v>0</v>
      </c>
      <c r="AO35" s="187">
        <f>M35/'Building &amp; Material inputs'!$C$18/'Building &amp; Material inputs'!$C$19</f>
        <v>0</v>
      </c>
      <c r="AP35" s="187">
        <f>N35/'Building &amp; Material inputs'!$C$18/'Building &amp; Material inputs'!$C$19</f>
        <v>0</v>
      </c>
      <c r="AQ35" s="139">
        <f>O35/'Building &amp; Material inputs'!$C$18/'Building &amp; Material inputs'!$C$19</f>
        <v>0</v>
      </c>
      <c r="AR35" s="139">
        <f>P35/'Building &amp; Material inputs'!$C$18/'Building &amp; Material inputs'!$C$19</f>
        <v>0</v>
      </c>
      <c r="AS35" s="170">
        <f>Q35/'Building &amp; Material inputs'!$C$18/'Building &amp; Material inputs'!$C$19</f>
        <v>0</v>
      </c>
      <c r="AT35" s="170">
        <f>R35/'Building &amp; Material inputs'!$C$18/'Building &amp; Material inputs'!$C$19</f>
        <v>0</v>
      </c>
      <c r="AU35" s="187">
        <f>S35/'Building &amp; Material inputs'!$C$18/'Building &amp; Material inputs'!$C$19</f>
        <v>0</v>
      </c>
      <c r="AV35" s="187">
        <f>T35/'Building &amp; Material inputs'!$C$18/'Building &amp; Material inputs'!$C$19</f>
        <v>0</v>
      </c>
      <c r="AW35" s="187">
        <f>U35/'Building &amp; Material inputs'!$C$18/'Building &amp; Material inputs'!$C$19</f>
        <v>0</v>
      </c>
      <c r="AX35" s="187">
        <f>V35/'Building &amp; Material inputs'!$C$18/'Building &amp; Material inputs'!$C$19</f>
        <v>0</v>
      </c>
      <c r="AY35" s="187">
        <f>W35/'Building &amp; Material inputs'!$C$18/'Building &amp; Material inputs'!$C$19</f>
        <v>0</v>
      </c>
      <c r="AZ35" s="187">
        <f>X35/'Building &amp; Material inputs'!$C$18/'Building &amp; Material inputs'!$C$19</f>
        <v>0</v>
      </c>
      <c r="BA35" s="187">
        <f>Y35/'Building &amp; Material inputs'!$C$18/'Building &amp; Material inputs'!$C$19</f>
        <v>0</v>
      </c>
      <c r="BB35" s="139">
        <f>Z35/'Building &amp; Material inputs'!$C$18/'Building &amp; Material inputs'!$C$19</f>
        <v>0</v>
      </c>
      <c r="BC35" s="139">
        <f>AA35/'Building &amp; Material inputs'!$C$18/'Building &amp; Material inputs'!$C$19</f>
        <v>0</v>
      </c>
      <c r="BD35" s="139">
        <f>AB35/'Building &amp; Material inputs'!$C$18/'Building &amp; Material inputs'!$C$19</f>
        <v>0</v>
      </c>
      <c r="BE35" s="139">
        <f>AC35/'Building &amp; Material inputs'!$C$18/'Building &amp; Material inputs'!$C$19</f>
        <v>0</v>
      </c>
      <c r="BF35" s="139">
        <f>AD35/'Building &amp; Material inputs'!$C$18/'Building &amp; Material inputs'!$C$19</f>
        <v>0</v>
      </c>
      <c r="BG35" s="139">
        <f>AE35/'Building &amp; Material inputs'!$C$18/'Building &amp; Material inputs'!$C$19</f>
        <v>0</v>
      </c>
      <c r="BH35" s="139">
        <f>AF35/'Building &amp; Material inputs'!$C$18/'Building &amp; Material inputs'!$C$19</f>
        <v>0</v>
      </c>
      <c r="BI35" s="170">
        <f>AG35/'Building &amp; Material inputs'!$C$18/'Building &amp; Material inputs'!$C$19</f>
        <v>0</v>
      </c>
      <c r="BJ35" s="170">
        <f>AH35/'Building &amp; Material inputs'!$C$18/'Building &amp; Material inputs'!$C$19</f>
        <v>0</v>
      </c>
      <c r="BK35" s="170">
        <f>AI35/'Building &amp; Material inputs'!$C$18/'Building &amp; Material inputs'!$C$19</f>
        <v>0</v>
      </c>
      <c r="BL35" s="170">
        <f>AJ35/'Building &amp; Material inputs'!$C$18/'Building &amp; Material inputs'!$C$19</f>
        <v>0</v>
      </c>
      <c r="BM35" s="170">
        <f>AK35/'Building &amp; Material inputs'!$C$18/'Building &amp; Material inputs'!$C$19</f>
        <v>0</v>
      </c>
      <c r="BN35" s="170">
        <f>AL35/'Building &amp; Material inputs'!$C$18/'Building &amp; Material inputs'!$C$19</f>
        <v>0</v>
      </c>
      <c r="BO35" s="170">
        <f>AM35/'Building &amp; Material inputs'!$C$18/'Building &amp; Material inputs'!$C$19</f>
        <v>0</v>
      </c>
    </row>
    <row r="36" spans="2:67" ht="15.75" thickBot="1" x14ac:dyDescent="0.3">
      <c r="B36" s="334"/>
      <c r="C36" s="331"/>
      <c r="D36" s="334"/>
      <c r="E36" s="334"/>
      <c r="F36" s="15" t="s">
        <v>116</v>
      </c>
      <c r="G36" s="7" t="s">
        <v>20</v>
      </c>
      <c r="H36" s="7" t="str">
        <f>'Material quantities'!G37</f>
        <v>REB</v>
      </c>
      <c r="I36" s="38">
        <f>'Material quantities'!O37</f>
        <v>0</v>
      </c>
      <c r="J36" s="42" t="s">
        <v>15</v>
      </c>
      <c r="K36" s="2"/>
      <c r="L36" s="143">
        <f>VLOOKUP($H36,'Material impact data'!$E$19:$AM$61,6,0)/VLOOKUP($H36,'Material impact data'!$E$19:$AM$61,4,0)*$I36</f>
        <v>0</v>
      </c>
      <c r="M36" s="138">
        <f>VLOOKUP($H36,'Material impact data'!$E$19:$AM$61,'Material impact data'!M$15,0)/VLOOKUP($H36,'Material impact data'!$E$19:$AM$61,4,0)*$I36</f>
        <v>0</v>
      </c>
      <c r="N36" s="138">
        <f>VLOOKUP($H36,'Material impact data'!$E$19:$AM$61,'Material impact data'!N$15,0)/VLOOKUP($H36,'Material impact data'!$E$19:$AM$61,4,0)*$I36</f>
        <v>0</v>
      </c>
      <c r="O36" s="180">
        <f>VLOOKUP($H36,'Material impact data'!$E$19:$AM$61,'Material impact data'!O$15,0)/VLOOKUP($H36,'Material impact data'!$E$19:$AM$61,4,0)*$I36</f>
        <v>0</v>
      </c>
      <c r="P36" s="180">
        <f>VLOOKUP($H36,'Material impact data'!$E$19:$AM$61,'Material impact data'!P$15,0)/VLOOKUP($H36,'Material impact data'!$E$19:$AM$61,4,0)*$I36</f>
        <v>0</v>
      </c>
      <c r="Q36" s="179">
        <f>VLOOKUP($H36,'Material impact data'!$E$19:$AM$61,'Material impact data'!Q$15,0)/VLOOKUP($H36,'Material impact data'!$E$19:$AM$61,4,0)*$I36</f>
        <v>0</v>
      </c>
      <c r="R36" s="179">
        <f>VLOOKUP($H36,'Material impact data'!$E$19:$AM$61,'Material impact data'!R$15,0)/VLOOKUP($H36,'Material impact data'!$E$19:$AM$61,4,0)*$I36</f>
        <v>0</v>
      </c>
      <c r="S36" s="138">
        <f>VLOOKUP($H36,'Material impact data'!$E$19:$AM$61,'Material impact data'!S$15,0)/VLOOKUP($H36,'Material impact data'!$E$19:$AM$61,4,0)*$I36</f>
        <v>0</v>
      </c>
      <c r="T36" s="138">
        <f>VLOOKUP($H36,'Material impact data'!$E$19:$AM$61,'Material impact data'!T$15,0)/VLOOKUP($H36,'Material impact data'!$E$19:$AM$61,4,0)*$I36</f>
        <v>0</v>
      </c>
      <c r="U36" s="138">
        <f>VLOOKUP($H36,'Material impact data'!$E$19:$AM$61,'Material impact data'!U$15,0)/VLOOKUP($H36,'Material impact data'!$E$19:$AM$61,4,0)*$I36</f>
        <v>0</v>
      </c>
      <c r="V36" s="138">
        <f>VLOOKUP($H36,'Material impact data'!$E$19:$AM$61,'Material impact data'!V$15,0)/VLOOKUP($H36,'Material impact data'!$E$19:$AM$61,4,0)*$I36</f>
        <v>0</v>
      </c>
      <c r="W36" s="138">
        <f>VLOOKUP($H36,'Material impact data'!$E$19:$AM$61,'Material impact data'!W$15,0)/VLOOKUP($H36,'Material impact data'!$E$19:$AM$61,4,0)*$I36</f>
        <v>0</v>
      </c>
      <c r="X36" s="138">
        <f>VLOOKUP($H36,'Material impact data'!$E$19:$AM$61,'Material impact data'!X$15,0)/VLOOKUP($H36,'Material impact data'!$E$19:$AM$61,4,0)*$I36</f>
        <v>0</v>
      </c>
      <c r="Y36" s="138">
        <f>VLOOKUP($H36,'Material impact data'!$E$19:$AM$61,'Material impact data'!Y$15,0)/VLOOKUP($H36,'Material impact data'!$E$19:$AM$61,4,0)*$I36</f>
        <v>0</v>
      </c>
      <c r="Z36" s="180">
        <f>VLOOKUP($H36,'Material impact data'!$E$19:$AM$61,'Material impact data'!Z$15,0)/VLOOKUP($H36,'Material impact data'!$E$19:$AM$61,4,0)*$I36</f>
        <v>0</v>
      </c>
      <c r="AA36" s="180">
        <f>VLOOKUP($H36,'Material impact data'!$E$19:$AM$61,'Material impact data'!AA$15,0)/VLOOKUP($H36,'Material impact data'!$E$19:$AM$61,4,0)*$I36</f>
        <v>0</v>
      </c>
      <c r="AB36" s="180">
        <f>VLOOKUP($H36,'Material impact data'!$E$19:$AM$61,'Material impact data'!AB$15,0)/VLOOKUP($H36,'Material impact data'!$E$19:$AM$61,4,0)*$I36</f>
        <v>0</v>
      </c>
      <c r="AC36" s="180">
        <f>VLOOKUP($H36,'Material impact data'!$E$19:$AM$61,'Material impact data'!AC$15,0)/VLOOKUP($H36,'Material impact data'!$E$19:$AM$61,4,0)*$I36</f>
        <v>0</v>
      </c>
      <c r="AD36" s="180">
        <f>VLOOKUP($H36,'Material impact data'!$E$19:$AM$61,'Material impact data'!AD$15,0)/VLOOKUP($H36,'Material impact data'!$E$19:$AM$61,4,0)*$I36</f>
        <v>0</v>
      </c>
      <c r="AE36" s="180">
        <f>VLOOKUP($H36,'Material impact data'!$E$19:$AM$61,'Material impact data'!AE$15,0)/VLOOKUP($H36,'Material impact data'!$E$19:$AM$61,4,0)*$I36</f>
        <v>0</v>
      </c>
      <c r="AF36" s="180">
        <f>VLOOKUP($H36,'Material impact data'!$E$19:$AM$61,'Material impact data'!AF$15,0)/VLOOKUP($H36,'Material impact data'!$E$19:$AM$61,4,0)*$I36</f>
        <v>0</v>
      </c>
      <c r="AG36" s="179">
        <f>VLOOKUP($H36,'Material impact data'!$E$19:$AM$61,'Material impact data'!AG$15,0)/VLOOKUP($H36,'Material impact data'!$E$19:$AM$61,4,0)*$I36</f>
        <v>0</v>
      </c>
      <c r="AH36" s="179">
        <f>VLOOKUP($H36,'Material impact data'!$E$19:$AM$61,'Material impact data'!AH$15,0)/VLOOKUP($H36,'Material impact data'!$E$19:$AM$61,4,0)*$I36</f>
        <v>0</v>
      </c>
      <c r="AI36" s="179">
        <f>VLOOKUP($H36,'Material impact data'!$E$19:$AM$61,'Material impact data'!AI$15,0)/VLOOKUP($H36,'Material impact data'!$E$19:$AM$61,4,0)*$I36</f>
        <v>0</v>
      </c>
      <c r="AJ36" s="179">
        <f>VLOOKUP($H36,'Material impact data'!$E$19:$AM$61,'Material impact data'!AJ$15,0)/VLOOKUP($H36,'Material impact data'!$E$19:$AM$61,4,0)*$I36</f>
        <v>0</v>
      </c>
      <c r="AK36" s="179">
        <f>VLOOKUP($H36,'Material impact data'!$E$19:$AM$61,'Material impact data'!AK$15,0)/VLOOKUP($H36,'Material impact data'!$E$19:$AM$61,4,0)*$I36</f>
        <v>0</v>
      </c>
      <c r="AL36" s="179">
        <f>VLOOKUP($H36,'Material impact data'!$E$19:$AM$61,'Material impact data'!AL$15,0)/VLOOKUP($H36,'Material impact data'!$E$19:$AM$61,4,0)*$I36</f>
        <v>0</v>
      </c>
      <c r="AM36" s="179">
        <f>VLOOKUP($H36,'Material impact data'!$E$19:$AM$61,'Material impact data'!AM$15,0)/VLOOKUP($H36,'Material impact data'!$E$19:$AM$61,4,0)*$I36</f>
        <v>0</v>
      </c>
      <c r="AO36" s="187">
        <f>M36/'Building &amp; Material inputs'!$C$18/'Building &amp; Material inputs'!$C$19</f>
        <v>0</v>
      </c>
      <c r="AP36" s="187">
        <f>N36/'Building &amp; Material inputs'!$C$18/'Building &amp; Material inputs'!$C$19</f>
        <v>0</v>
      </c>
      <c r="AQ36" s="139">
        <f>O36/'Building &amp; Material inputs'!$C$18/'Building &amp; Material inputs'!$C$19</f>
        <v>0</v>
      </c>
      <c r="AR36" s="139">
        <f>P36/'Building &amp; Material inputs'!$C$18/'Building &amp; Material inputs'!$C$19</f>
        <v>0</v>
      </c>
      <c r="AS36" s="170">
        <f>Q36/'Building &amp; Material inputs'!$C$18/'Building &amp; Material inputs'!$C$19</f>
        <v>0</v>
      </c>
      <c r="AT36" s="170">
        <f>R36/'Building &amp; Material inputs'!$C$18/'Building &amp; Material inputs'!$C$19</f>
        <v>0</v>
      </c>
      <c r="AU36" s="187">
        <f>S36/'Building &amp; Material inputs'!$C$18/'Building &amp; Material inputs'!$C$19</f>
        <v>0</v>
      </c>
      <c r="AV36" s="187">
        <f>T36/'Building &amp; Material inputs'!$C$18/'Building &amp; Material inputs'!$C$19</f>
        <v>0</v>
      </c>
      <c r="AW36" s="187">
        <f>U36/'Building &amp; Material inputs'!$C$18/'Building &amp; Material inputs'!$C$19</f>
        <v>0</v>
      </c>
      <c r="AX36" s="187">
        <f>V36/'Building &amp; Material inputs'!$C$18/'Building &amp; Material inputs'!$C$19</f>
        <v>0</v>
      </c>
      <c r="AY36" s="187">
        <f>W36/'Building &amp; Material inputs'!$C$18/'Building &amp; Material inputs'!$C$19</f>
        <v>0</v>
      </c>
      <c r="AZ36" s="187">
        <f>X36/'Building &amp; Material inputs'!$C$18/'Building &amp; Material inputs'!$C$19</f>
        <v>0</v>
      </c>
      <c r="BA36" s="187">
        <f>Y36/'Building &amp; Material inputs'!$C$18/'Building &amp; Material inputs'!$C$19</f>
        <v>0</v>
      </c>
      <c r="BB36" s="139">
        <f>Z36/'Building &amp; Material inputs'!$C$18/'Building &amp; Material inputs'!$C$19</f>
        <v>0</v>
      </c>
      <c r="BC36" s="139">
        <f>AA36/'Building &amp; Material inputs'!$C$18/'Building &amp; Material inputs'!$C$19</f>
        <v>0</v>
      </c>
      <c r="BD36" s="139">
        <f>AB36/'Building &amp; Material inputs'!$C$18/'Building &amp; Material inputs'!$C$19</f>
        <v>0</v>
      </c>
      <c r="BE36" s="139">
        <f>AC36/'Building &amp; Material inputs'!$C$18/'Building &amp; Material inputs'!$C$19</f>
        <v>0</v>
      </c>
      <c r="BF36" s="139">
        <f>AD36/'Building &amp; Material inputs'!$C$18/'Building &amp; Material inputs'!$C$19</f>
        <v>0</v>
      </c>
      <c r="BG36" s="139">
        <f>AE36/'Building &amp; Material inputs'!$C$18/'Building &amp; Material inputs'!$C$19</f>
        <v>0</v>
      </c>
      <c r="BH36" s="139">
        <f>AF36/'Building &amp; Material inputs'!$C$18/'Building &amp; Material inputs'!$C$19</f>
        <v>0</v>
      </c>
      <c r="BI36" s="170">
        <f>AG36/'Building &amp; Material inputs'!$C$18/'Building &amp; Material inputs'!$C$19</f>
        <v>0</v>
      </c>
      <c r="BJ36" s="170">
        <f>AH36/'Building &amp; Material inputs'!$C$18/'Building &amp; Material inputs'!$C$19</f>
        <v>0</v>
      </c>
      <c r="BK36" s="170">
        <f>AI36/'Building &amp; Material inputs'!$C$18/'Building &amp; Material inputs'!$C$19</f>
        <v>0</v>
      </c>
      <c r="BL36" s="170">
        <f>AJ36/'Building &amp; Material inputs'!$C$18/'Building &amp; Material inputs'!$C$19</f>
        <v>0</v>
      </c>
      <c r="BM36" s="170">
        <f>AK36/'Building &amp; Material inputs'!$C$18/'Building &amp; Material inputs'!$C$19</f>
        <v>0</v>
      </c>
      <c r="BN36" s="170">
        <f>AL36/'Building &amp; Material inputs'!$C$18/'Building &amp; Material inputs'!$C$19</f>
        <v>0</v>
      </c>
      <c r="BO36" s="170">
        <f>AM36/'Building &amp; Material inputs'!$C$18/'Building &amp; Material inputs'!$C$19</f>
        <v>0</v>
      </c>
    </row>
    <row r="37" spans="2:67" ht="15.75" thickBot="1" x14ac:dyDescent="0.3">
      <c r="B37" s="334"/>
      <c r="C37" s="332"/>
      <c r="D37" s="359" t="s">
        <v>608</v>
      </c>
      <c r="E37" s="360"/>
      <c r="F37" s="360"/>
      <c r="G37" s="360"/>
      <c r="H37" s="360"/>
      <c r="I37" s="360"/>
      <c r="J37" s="361"/>
      <c r="K37" s="127"/>
      <c r="L37" s="146">
        <f>SUM(L21:L36)</f>
        <v>16019.91012</v>
      </c>
      <c r="M37" s="201">
        <f>SUM(M21:M36)</f>
        <v>19103.229503999999</v>
      </c>
      <c r="N37" s="201">
        <f t="shared" ref="N37:R37" si="0">SUM(N21:N36)</f>
        <v>128195.31409499999</v>
      </c>
      <c r="O37" s="201">
        <f t="shared" si="0"/>
        <v>276.86357039999996</v>
      </c>
      <c r="P37" s="201">
        <f t="shared" si="0"/>
        <v>6815.2376160000003</v>
      </c>
      <c r="Q37" s="201">
        <f t="shared" si="0"/>
        <v>6.7750848000000001</v>
      </c>
      <c r="R37" s="201">
        <f t="shared" si="0"/>
        <v>416.98306503000003</v>
      </c>
      <c r="S37" s="201">
        <f t="shared" ref="S37:AM37" si="1">SUM(S21:S36)</f>
        <v>21370.632626999999</v>
      </c>
      <c r="T37" s="201">
        <f t="shared" si="1"/>
        <v>122776.684425</v>
      </c>
      <c r="U37" s="201">
        <f t="shared" si="1"/>
        <v>8.7477874892999997E-3</v>
      </c>
      <c r="V37" s="201">
        <f t="shared" si="1"/>
        <v>38.697987599999998</v>
      </c>
      <c r="W37" s="201">
        <f t="shared" si="1"/>
        <v>12.616080852000001</v>
      </c>
      <c r="X37" s="201">
        <f t="shared" si="1"/>
        <v>4.0222169880000003</v>
      </c>
      <c r="Y37" s="201">
        <f t="shared" si="1"/>
        <v>4.7164805390399999E-4</v>
      </c>
      <c r="Z37" s="201">
        <f t="shared" si="1"/>
        <v>469.68798900000007</v>
      </c>
      <c r="AA37" s="201">
        <f t="shared" si="1"/>
        <v>6713.1460950000001</v>
      </c>
      <c r="AB37" s="201">
        <f t="shared" si="1"/>
        <v>3.2481319140000004E-4</v>
      </c>
      <c r="AC37" s="201">
        <f t="shared" si="1"/>
        <v>1.7117780879999998</v>
      </c>
      <c r="AD37" s="201">
        <f t="shared" si="1"/>
        <v>0.33307284576000001</v>
      </c>
      <c r="AE37" s="201">
        <f t="shared" si="1"/>
        <v>-0.15093905100000002</v>
      </c>
      <c r="AF37" s="201">
        <f t="shared" si="1"/>
        <v>3.8160412305408721E-5</v>
      </c>
      <c r="AG37" s="201">
        <f t="shared" si="1"/>
        <v>39.637605204333902</v>
      </c>
      <c r="AH37" s="201">
        <f t="shared" si="1"/>
        <v>424.29869750100011</v>
      </c>
      <c r="AI37" s="201">
        <f t="shared" si="1"/>
        <v>4.2777516653099996E-5</v>
      </c>
      <c r="AJ37" s="201">
        <f t="shared" si="1"/>
        <v>0.22293203901786898</v>
      </c>
      <c r="AK37" s="201">
        <f t="shared" si="1"/>
        <v>2.2703972826510002E-2</v>
      </c>
      <c r="AL37" s="201">
        <f t="shared" si="1"/>
        <v>0.24310032355982134</v>
      </c>
      <c r="AM37" s="205">
        <f t="shared" si="1"/>
        <v>4.4506315439805304E-6</v>
      </c>
      <c r="AO37" s="201">
        <f>SUM(AO21:AO36)</f>
        <v>1.4836307474370922</v>
      </c>
      <c r="AP37" s="201">
        <f t="shared" ref="AP37:BO37" si="2">SUM(AP21:AP36)</f>
        <v>9.9561443068499536</v>
      </c>
      <c r="AQ37" s="201">
        <f t="shared" si="2"/>
        <v>2.1502296551724139E-2</v>
      </c>
      <c r="AR37" s="201">
        <f t="shared" si="2"/>
        <v>0.52929773345759557</v>
      </c>
      <c r="AS37" s="201">
        <f t="shared" si="2"/>
        <v>5.2617931034482763E-4</v>
      </c>
      <c r="AT37" s="201">
        <f t="shared" si="2"/>
        <v>3.2384518874650513E-2</v>
      </c>
      <c r="AU37" s="201">
        <f t="shared" si="2"/>
        <v>1.6597260505591798</v>
      </c>
      <c r="AV37" s="201">
        <f t="shared" si="2"/>
        <v>9.5353125524231146</v>
      </c>
      <c r="AW37" s="201">
        <f t="shared" si="2"/>
        <v>6.7938703706896563E-7</v>
      </c>
      <c r="AX37" s="201">
        <f t="shared" si="2"/>
        <v>3.0054355079217154E-3</v>
      </c>
      <c r="AY37" s="201">
        <f t="shared" si="2"/>
        <v>9.7981367287977637E-4</v>
      </c>
      <c r="AZ37" s="201">
        <f t="shared" si="2"/>
        <v>3.1238094035414727E-4</v>
      </c>
      <c r="BA37" s="201">
        <f t="shared" si="2"/>
        <v>3.6630013506057782E-8</v>
      </c>
      <c r="BB37" s="201">
        <f t="shared" si="2"/>
        <v>3.6477787278657969E-2</v>
      </c>
      <c r="BC37" s="201">
        <f t="shared" si="2"/>
        <v>0.52136891076421255</v>
      </c>
      <c r="BD37" s="201">
        <f t="shared" si="2"/>
        <v>2.5226249720410068E-8</v>
      </c>
      <c r="BE37" s="201">
        <f t="shared" si="2"/>
        <v>1.329433122087605E-4</v>
      </c>
      <c r="BF37" s="201">
        <f t="shared" si="2"/>
        <v>2.5867726449207827E-5</v>
      </c>
      <c r="BG37" s="201">
        <f t="shared" si="2"/>
        <v>-1.172251095060578E-5</v>
      </c>
      <c r="BH37" s="201">
        <f t="shared" si="2"/>
        <v>2.963685329714874E-9</v>
      </c>
      <c r="BI37" s="201">
        <f t="shared" si="2"/>
        <v>3.0784098481154007E-3</v>
      </c>
      <c r="BJ37" s="201">
        <f t="shared" si="2"/>
        <v>3.2952679209459469E-2</v>
      </c>
      <c r="BK37" s="201">
        <f t="shared" si="2"/>
        <v>3.3222675250931968E-9</v>
      </c>
      <c r="BL37" s="201">
        <f t="shared" si="2"/>
        <v>1.7313765068178706E-5</v>
      </c>
      <c r="BM37" s="201">
        <f t="shared" si="2"/>
        <v>1.7632784115027961E-6</v>
      </c>
      <c r="BN37" s="201">
        <f t="shared" si="2"/>
        <v>1.8880112112443405E-5</v>
      </c>
      <c r="BO37" s="201">
        <f t="shared" si="2"/>
        <v>3.4565327306465752E-10</v>
      </c>
    </row>
    <row r="38" spans="2:67" ht="15" customHeight="1" x14ac:dyDescent="0.25">
      <c r="B38" s="334"/>
      <c r="C38" s="318" t="s">
        <v>70</v>
      </c>
      <c r="D38" s="304" t="s">
        <v>85</v>
      </c>
      <c r="E38" s="304" t="s">
        <v>87</v>
      </c>
      <c r="F38" s="15" t="s">
        <v>118</v>
      </c>
      <c r="G38" s="17" t="s">
        <v>56</v>
      </c>
      <c r="H38" s="7" t="str">
        <f>'Material quantities'!G39</f>
        <v>GLT</v>
      </c>
      <c r="I38" s="38">
        <f>'Material quantities'!O39</f>
        <v>0</v>
      </c>
      <c r="J38" s="42" t="s">
        <v>14</v>
      </c>
      <c r="K38" s="2"/>
      <c r="L38" s="144">
        <f>VLOOKUP($H38,'Material impact data'!$E$19:$AM$61,6,0)/VLOOKUP($H38,'Material impact data'!$E$19:$AM$61,4,0)*$I38</f>
        <v>0</v>
      </c>
      <c r="M38" s="140">
        <f>VLOOKUP($H38,'Material impact data'!$E$19:$AM$61,'Material impact data'!M$15,0)/VLOOKUP($H38,'Material impact data'!$E$19:$AM$61,4,0)*$I38</f>
        <v>0</v>
      </c>
      <c r="N38" s="140">
        <f>VLOOKUP($H38,'Material impact data'!$E$19:$AM$61,'Material impact data'!N$15,0)/VLOOKUP($H38,'Material impact data'!$E$19:$AM$61,4,0)*$I38</f>
        <v>0</v>
      </c>
      <c r="O38" s="185">
        <f>VLOOKUP($H38,'Material impact data'!$E$19:$AM$61,'Material impact data'!O$15,0)/VLOOKUP($H38,'Material impact data'!$E$19:$AM$61,4,0)*$I38</f>
        <v>0</v>
      </c>
      <c r="P38" s="185">
        <f>VLOOKUP($H38,'Material impact data'!$E$19:$AM$61,'Material impact data'!P$15,0)/VLOOKUP($H38,'Material impact data'!$E$19:$AM$61,4,0)*$I38</f>
        <v>0</v>
      </c>
      <c r="Q38" s="186">
        <f>VLOOKUP($H38,'Material impact data'!$E$19:$AM$61,'Material impact data'!Q$15,0)/VLOOKUP($H38,'Material impact data'!$E$19:$AM$61,4,0)*$I38</f>
        <v>0</v>
      </c>
      <c r="R38" s="186">
        <f>VLOOKUP($H38,'Material impact data'!$E$19:$AM$61,'Material impact data'!R$15,0)/VLOOKUP($H38,'Material impact data'!$E$19:$AM$61,4,0)*$I38</f>
        <v>0</v>
      </c>
      <c r="S38" s="140">
        <f>VLOOKUP($H38,'Material impact data'!$E$19:$AM$61,'Material impact data'!S$15,0)/VLOOKUP($H38,'Material impact data'!$E$19:$AM$61,4,0)*$I38</f>
        <v>0</v>
      </c>
      <c r="T38" s="140">
        <f>VLOOKUP($H38,'Material impact data'!$E$19:$AM$61,'Material impact data'!T$15,0)/VLOOKUP($H38,'Material impact data'!$E$19:$AM$61,4,0)*$I38</f>
        <v>0</v>
      </c>
      <c r="U38" s="140">
        <f>VLOOKUP($H38,'Material impact data'!$E$19:$AM$61,'Material impact data'!U$15,0)/VLOOKUP($H38,'Material impact data'!$E$19:$AM$61,4,0)*$I38</f>
        <v>0</v>
      </c>
      <c r="V38" s="140">
        <f>VLOOKUP($H38,'Material impact data'!$E$19:$AM$61,'Material impact data'!V$15,0)/VLOOKUP($H38,'Material impact data'!$E$19:$AM$61,4,0)*$I38</f>
        <v>0</v>
      </c>
      <c r="W38" s="140">
        <f>VLOOKUP($H38,'Material impact data'!$E$19:$AM$61,'Material impact data'!W$15,0)/VLOOKUP($H38,'Material impact data'!$E$19:$AM$61,4,0)*$I38</f>
        <v>0</v>
      </c>
      <c r="X38" s="140">
        <f>VLOOKUP($H38,'Material impact data'!$E$19:$AM$61,'Material impact data'!X$15,0)/VLOOKUP($H38,'Material impact data'!$E$19:$AM$61,4,0)*$I38</f>
        <v>0</v>
      </c>
      <c r="Y38" s="140">
        <f>VLOOKUP($H38,'Material impact data'!$E$19:$AM$61,'Material impact data'!Y$15,0)/VLOOKUP($H38,'Material impact data'!$E$19:$AM$61,4,0)*$I38</f>
        <v>0</v>
      </c>
      <c r="Z38" s="185">
        <f>VLOOKUP($H38,'Material impact data'!$E$19:$AM$61,'Material impact data'!Z$15,0)/VLOOKUP($H38,'Material impact data'!$E$19:$AM$61,4,0)*$I38</f>
        <v>0</v>
      </c>
      <c r="AA38" s="185">
        <f>VLOOKUP($H38,'Material impact data'!$E$19:$AM$61,'Material impact data'!AA$15,0)/VLOOKUP($H38,'Material impact data'!$E$19:$AM$61,4,0)*$I38</f>
        <v>0</v>
      </c>
      <c r="AB38" s="185">
        <f>VLOOKUP($H38,'Material impact data'!$E$19:$AM$61,'Material impact data'!AB$15,0)/VLOOKUP($H38,'Material impact data'!$E$19:$AM$61,4,0)*$I38</f>
        <v>0</v>
      </c>
      <c r="AC38" s="185">
        <f>VLOOKUP($H38,'Material impact data'!$E$19:$AM$61,'Material impact data'!AC$15,0)/VLOOKUP($H38,'Material impact data'!$E$19:$AM$61,4,0)*$I38</f>
        <v>0</v>
      </c>
      <c r="AD38" s="185">
        <f>VLOOKUP($H38,'Material impact data'!$E$19:$AM$61,'Material impact data'!AD$15,0)/VLOOKUP($H38,'Material impact data'!$E$19:$AM$61,4,0)*$I38</f>
        <v>0</v>
      </c>
      <c r="AE38" s="185">
        <f>VLOOKUP($H38,'Material impact data'!$E$19:$AM$61,'Material impact data'!AE$15,0)/VLOOKUP($H38,'Material impact data'!$E$19:$AM$61,4,0)*$I38</f>
        <v>0</v>
      </c>
      <c r="AF38" s="185">
        <f>VLOOKUP($H38,'Material impact data'!$E$19:$AM$61,'Material impact data'!AF$15,0)/VLOOKUP($H38,'Material impact data'!$E$19:$AM$61,4,0)*$I38</f>
        <v>0</v>
      </c>
      <c r="AG38" s="186">
        <f>VLOOKUP($H38,'Material impact data'!$E$19:$AM$61,'Material impact data'!AG$15,0)/VLOOKUP($H38,'Material impact data'!$E$19:$AM$61,4,0)*$I38</f>
        <v>0</v>
      </c>
      <c r="AH38" s="186">
        <f>VLOOKUP($H38,'Material impact data'!$E$19:$AM$61,'Material impact data'!AH$15,0)/VLOOKUP($H38,'Material impact data'!$E$19:$AM$61,4,0)*$I38</f>
        <v>0</v>
      </c>
      <c r="AI38" s="186">
        <f>VLOOKUP($H38,'Material impact data'!$E$19:$AM$61,'Material impact data'!AI$15,0)/VLOOKUP($H38,'Material impact data'!$E$19:$AM$61,4,0)*$I38</f>
        <v>0</v>
      </c>
      <c r="AJ38" s="186">
        <f>VLOOKUP($H38,'Material impact data'!$E$19:$AM$61,'Material impact data'!AJ$15,0)/VLOOKUP($H38,'Material impact data'!$E$19:$AM$61,4,0)*$I38</f>
        <v>0</v>
      </c>
      <c r="AK38" s="186">
        <f>VLOOKUP($H38,'Material impact data'!$E$19:$AM$61,'Material impact data'!AK$15,0)/VLOOKUP($H38,'Material impact data'!$E$19:$AM$61,4,0)*$I38</f>
        <v>0</v>
      </c>
      <c r="AL38" s="186">
        <f>VLOOKUP($H38,'Material impact data'!$E$19:$AM$61,'Material impact data'!AL$15,0)/VLOOKUP($H38,'Material impact data'!$E$19:$AM$61,4,0)*$I38</f>
        <v>0</v>
      </c>
      <c r="AM38" s="186">
        <f>VLOOKUP($H38,'Material impact data'!$E$19:$AM$61,'Material impact data'!AM$15,0)/VLOOKUP($H38,'Material impact data'!$E$19:$AM$61,4,0)*$I38</f>
        <v>0</v>
      </c>
      <c r="AO38" s="187">
        <f>M38/'Building &amp; Material inputs'!$C$18/'Building &amp; Material inputs'!$C$19</f>
        <v>0</v>
      </c>
      <c r="AP38" s="187">
        <f>N38/'Building &amp; Material inputs'!$C$18/'Building &amp; Material inputs'!$C$19</f>
        <v>0</v>
      </c>
      <c r="AQ38" s="139">
        <f>O38/'Building &amp; Material inputs'!$C$18/'Building &amp; Material inputs'!$C$19</f>
        <v>0</v>
      </c>
      <c r="AR38" s="139">
        <f>P38/'Building &amp; Material inputs'!$C$18/'Building &amp; Material inputs'!$C$19</f>
        <v>0</v>
      </c>
      <c r="AS38" s="170">
        <f>Q38/'Building &amp; Material inputs'!$C$18/'Building &amp; Material inputs'!$C$19</f>
        <v>0</v>
      </c>
      <c r="AT38" s="170">
        <f>R38/'Building &amp; Material inputs'!$C$18/'Building &amp; Material inputs'!$C$19</f>
        <v>0</v>
      </c>
      <c r="AU38" s="187">
        <f>S38/'Building &amp; Material inputs'!$C$18/'Building &amp; Material inputs'!$C$19</f>
        <v>0</v>
      </c>
      <c r="AV38" s="187">
        <f>T38/'Building &amp; Material inputs'!$C$18/'Building &amp; Material inputs'!$C$19</f>
        <v>0</v>
      </c>
      <c r="AW38" s="187">
        <f>U38/'Building &amp; Material inputs'!$C$18/'Building &amp; Material inputs'!$C$19</f>
        <v>0</v>
      </c>
      <c r="AX38" s="187">
        <f>V38/'Building &amp; Material inputs'!$C$18/'Building &amp; Material inputs'!$C$19</f>
        <v>0</v>
      </c>
      <c r="AY38" s="187">
        <f>W38/'Building &amp; Material inputs'!$C$18/'Building &amp; Material inputs'!$C$19</f>
        <v>0</v>
      </c>
      <c r="AZ38" s="187">
        <f>X38/'Building &amp; Material inputs'!$C$18/'Building &amp; Material inputs'!$C$19</f>
        <v>0</v>
      </c>
      <c r="BA38" s="187">
        <f>Y38/'Building &amp; Material inputs'!$C$18/'Building &amp; Material inputs'!$C$19</f>
        <v>0</v>
      </c>
      <c r="BB38" s="139">
        <f>Z38/'Building &amp; Material inputs'!$C$18/'Building &amp; Material inputs'!$C$19</f>
        <v>0</v>
      </c>
      <c r="BC38" s="139">
        <f>AA38/'Building &amp; Material inputs'!$C$18/'Building &amp; Material inputs'!$C$19</f>
        <v>0</v>
      </c>
      <c r="BD38" s="139">
        <f>AB38/'Building &amp; Material inputs'!$C$18/'Building &amp; Material inputs'!$C$19</f>
        <v>0</v>
      </c>
      <c r="BE38" s="139">
        <f>AC38/'Building &amp; Material inputs'!$C$18/'Building &amp; Material inputs'!$C$19</f>
        <v>0</v>
      </c>
      <c r="BF38" s="139">
        <f>AD38/'Building &amp; Material inputs'!$C$18/'Building &amp; Material inputs'!$C$19</f>
        <v>0</v>
      </c>
      <c r="BG38" s="139">
        <f>AE38/'Building &amp; Material inputs'!$C$18/'Building &amp; Material inputs'!$C$19</f>
        <v>0</v>
      </c>
      <c r="BH38" s="139">
        <f>AF38/'Building &amp; Material inputs'!$C$18/'Building &amp; Material inputs'!$C$19</f>
        <v>0</v>
      </c>
      <c r="BI38" s="170">
        <f>AG38/'Building &amp; Material inputs'!$C$18/'Building &amp; Material inputs'!$C$19</f>
        <v>0</v>
      </c>
      <c r="BJ38" s="170">
        <f>AH38/'Building &amp; Material inputs'!$C$18/'Building &amp; Material inputs'!$C$19</f>
        <v>0</v>
      </c>
      <c r="BK38" s="170">
        <f>AI38/'Building &amp; Material inputs'!$C$18/'Building &amp; Material inputs'!$C$19</f>
        <v>0</v>
      </c>
      <c r="BL38" s="170">
        <f>AJ38/'Building &amp; Material inputs'!$C$18/'Building &amp; Material inputs'!$C$19</f>
        <v>0</v>
      </c>
      <c r="BM38" s="170">
        <f>AK38/'Building &amp; Material inputs'!$C$18/'Building &amp; Material inputs'!$C$19</f>
        <v>0</v>
      </c>
      <c r="BN38" s="170">
        <f>AL38/'Building &amp; Material inputs'!$C$18/'Building &amp; Material inputs'!$C$19</f>
        <v>0</v>
      </c>
      <c r="BO38" s="170">
        <f>AM38/'Building &amp; Material inputs'!$C$18/'Building &amp; Material inputs'!$C$19</f>
        <v>0</v>
      </c>
    </row>
    <row r="39" spans="2:67" x14ac:dyDescent="0.25">
      <c r="B39" s="334"/>
      <c r="C39" s="320"/>
      <c r="D39" s="305"/>
      <c r="E39" s="305"/>
      <c r="F39" s="15" t="s">
        <v>119</v>
      </c>
      <c r="G39" s="94" t="s">
        <v>605</v>
      </c>
      <c r="H39" s="7" t="str">
        <f>'Material quantities'!G40</f>
        <v>ST-G</v>
      </c>
      <c r="I39" s="38">
        <f>'Material quantities'!O40</f>
        <v>0</v>
      </c>
      <c r="J39" s="93" t="s">
        <v>15</v>
      </c>
      <c r="K39" s="2"/>
      <c r="L39" s="144">
        <f>VLOOKUP($H39,'Material impact data'!$E$19:$AM$61,6,0)/VLOOKUP($H39,'Material impact data'!$E$19:$AM$61,4,0)*$I39</f>
        <v>0</v>
      </c>
      <c r="M39" s="140">
        <f>VLOOKUP($H39,'Material impact data'!$E$19:$AM$61,'Material impact data'!M$15,0)/VLOOKUP($H39,'Material impact data'!$E$19:$AM$61,4,0)*$I39</f>
        <v>0</v>
      </c>
      <c r="N39" s="140">
        <f>VLOOKUP($H39,'Material impact data'!$E$19:$AM$61,'Material impact data'!N$15,0)/VLOOKUP($H39,'Material impact data'!$E$19:$AM$61,4,0)*$I39</f>
        <v>0</v>
      </c>
      <c r="O39" s="185">
        <f>VLOOKUP($H39,'Material impact data'!$E$19:$AM$61,'Material impact data'!O$15,0)/VLOOKUP($H39,'Material impact data'!$E$19:$AM$61,4,0)*$I39</f>
        <v>0</v>
      </c>
      <c r="P39" s="185">
        <f>VLOOKUP($H39,'Material impact data'!$E$19:$AM$61,'Material impact data'!P$15,0)/VLOOKUP($H39,'Material impact data'!$E$19:$AM$61,4,0)*$I39</f>
        <v>0</v>
      </c>
      <c r="Q39" s="186">
        <f>VLOOKUP($H39,'Material impact data'!$E$19:$AM$61,'Material impact data'!Q$15,0)/VLOOKUP($H39,'Material impact data'!$E$19:$AM$61,4,0)*$I39</f>
        <v>0</v>
      </c>
      <c r="R39" s="186">
        <f>VLOOKUP($H39,'Material impact data'!$E$19:$AM$61,'Material impact data'!R$15,0)/VLOOKUP($H39,'Material impact data'!$E$19:$AM$61,4,0)*$I39</f>
        <v>0</v>
      </c>
      <c r="S39" s="140">
        <f>VLOOKUP($H39,'Material impact data'!$E$19:$AM$61,'Material impact data'!S$15,0)/VLOOKUP($H39,'Material impact data'!$E$19:$AM$61,4,0)*$I39</f>
        <v>0</v>
      </c>
      <c r="T39" s="140">
        <f>VLOOKUP($H39,'Material impact data'!$E$19:$AM$61,'Material impact data'!T$15,0)/VLOOKUP($H39,'Material impact data'!$E$19:$AM$61,4,0)*$I39</f>
        <v>0</v>
      </c>
      <c r="U39" s="140">
        <f>VLOOKUP($H39,'Material impact data'!$E$19:$AM$61,'Material impact data'!U$15,0)/VLOOKUP($H39,'Material impact data'!$E$19:$AM$61,4,0)*$I39</f>
        <v>0</v>
      </c>
      <c r="V39" s="140">
        <f>VLOOKUP($H39,'Material impact data'!$E$19:$AM$61,'Material impact data'!V$15,0)/VLOOKUP($H39,'Material impact data'!$E$19:$AM$61,4,0)*$I39</f>
        <v>0</v>
      </c>
      <c r="W39" s="140">
        <f>VLOOKUP($H39,'Material impact data'!$E$19:$AM$61,'Material impact data'!W$15,0)/VLOOKUP($H39,'Material impact data'!$E$19:$AM$61,4,0)*$I39</f>
        <v>0</v>
      </c>
      <c r="X39" s="140">
        <f>VLOOKUP($H39,'Material impact data'!$E$19:$AM$61,'Material impact data'!X$15,0)/VLOOKUP($H39,'Material impact data'!$E$19:$AM$61,4,0)*$I39</f>
        <v>0</v>
      </c>
      <c r="Y39" s="140">
        <f>VLOOKUP($H39,'Material impact data'!$E$19:$AM$61,'Material impact data'!Y$15,0)/VLOOKUP($H39,'Material impact data'!$E$19:$AM$61,4,0)*$I39</f>
        <v>0</v>
      </c>
      <c r="Z39" s="185">
        <f>VLOOKUP($H39,'Material impact data'!$E$19:$AM$61,'Material impact data'!Z$15,0)/VLOOKUP($H39,'Material impact data'!$E$19:$AM$61,4,0)*$I39</f>
        <v>0</v>
      </c>
      <c r="AA39" s="185">
        <f>VLOOKUP($H39,'Material impact data'!$E$19:$AM$61,'Material impact data'!AA$15,0)/VLOOKUP($H39,'Material impact data'!$E$19:$AM$61,4,0)*$I39</f>
        <v>0</v>
      </c>
      <c r="AB39" s="185">
        <f>VLOOKUP($H39,'Material impact data'!$E$19:$AM$61,'Material impact data'!AB$15,0)/VLOOKUP($H39,'Material impact data'!$E$19:$AM$61,4,0)*$I39</f>
        <v>0</v>
      </c>
      <c r="AC39" s="185">
        <f>VLOOKUP($H39,'Material impact data'!$E$19:$AM$61,'Material impact data'!AC$15,0)/VLOOKUP($H39,'Material impact data'!$E$19:$AM$61,4,0)*$I39</f>
        <v>0</v>
      </c>
      <c r="AD39" s="185">
        <f>VLOOKUP($H39,'Material impact data'!$E$19:$AM$61,'Material impact data'!AD$15,0)/VLOOKUP($H39,'Material impact data'!$E$19:$AM$61,4,0)*$I39</f>
        <v>0</v>
      </c>
      <c r="AE39" s="185">
        <f>VLOOKUP($H39,'Material impact data'!$E$19:$AM$61,'Material impact data'!AE$15,0)/VLOOKUP($H39,'Material impact data'!$E$19:$AM$61,4,0)*$I39</f>
        <v>0</v>
      </c>
      <c r="AF39" s="185">
        <f>VLOOKUP($H39,'Material impact data'!$E$19:$AM$61,'Material impact data'!AF$15,0)/VLOOKUP($H39,'Material impact data'!$E$19:$AM$61,4,0)*$I39</f>
        <v>0</v>
      </c>
      <c r="AG39" s="186">
        <f>VLOOKUP($H39,'Material impact data'!$E$19:$AM$61,'Material impact data'!AG$15,0)/VLOOKUP($H39,'Material impact data'!$E$19:$AM$61,4,0)*$I39</f>
        <v>0</v>
      </c>
      <c r="AH39" s="186">
        <f>VLOOKUP($H39,'Material impact data'!$E$19:$AM$61,'Material impact data'!AH$15,0)/VLOOKUP($H39,'Material impact data'!$E$19:$AM$61,4,0)*$I39</f>
        <v>0</v>
      </c>
      <c r="AI39" s="186">
        <f>VLOOKUP($H39,'Material impact data'!$E$19:$AM$61,'Material impact data'!AI$15,0)/VLOOKUP($H39,'Material impact data'!$E$19:$AM$61,4,0)*$I39</f>
        <v>0</v>
      </c>
      <c r="AJ39" s="186">
        <f>VLOOKUP($H39,'Material impact data'!$E$19:$AM$61,'Material impact data'!AJ$15,0)/VLOOKUP($H39,'Material impact data'!$E$19:$AM$61,4,0)*$I39</f>
        <v>0</v>
      </c>
      <c r="AK39" s="186">
        <f>VLOOKUP($H39,'Material impact data'!$E$19:$AM$61,'Material impact data'!AK$15,0)/VLOOKUP($H39,'Material impact data'!$E$19:$AM$61,4,0)*$I39</f>
        <v>0</v>
      </c>
      <c r="AL39" s="186">
        <f>VLOOKUP($H39,'Material impact data'!$E$19:$AM$61,'Material impact data'!AL$15,0)/VLOOKUP($H39,'Material impact data'!$E$19:$AM$61,4,0)*$I39</f>
        <v>0</v>
      </c>
      <c r="AM39" s="186">
        <f>VLOOKUP($H39,'Material impact data'!$E$19:$AM$61,'Material impact data'!AM$15,0)/VLOOKUP($H39,'Material impact data'!$E$19:$AM$61,4,0)*$I39</f>
        <v>0</v>
      </c>
      <c r="AO39" s="187">
        <f>M39/'Building &amp; Material inputs'!$C$18/'Building &amp; Material inputs'!$C$19</f>
        <v>0</v>
      </c>
      <c r="AP39" s="187">
        <f>N39/'Building &amp; Material inputs'!$C$18/'Building &amp; Material inputs'!$C$19</f>
        <v>0</v>
      </c>
      <c r="AQ39" s="139">
        <f>O39/'Building &amp; Material inputs'!$C$18/'Building &amp; Material inputs'!$C$19</f>
        <v>0</v>
      </c>
      <c r="AR39" s="139">
        <f>P39/'Building &amp; Material inputs'!$C$18/'Building &amp; Material inputs'!$C$19</f>
        <v>0</v>
      </c>
      <c r="AS39" s="170">
        <f>Q39/'Building &amp; Material inputs'!$C$18/'Building &amp; Material inputs'!$C$19</f>
        <v>0</v>
      </c>
      <c r="AT39" s="170">
        <f>R39/'Building &amp; Material inputs'!$C$18/'Building &amp; Material inputs'!$C$19</f>
        <v>0</v>
      </c>
      <c r="AU39" s="187">
        <f>S39/'Building &amp; Material inputs'!$C$18/'Building &amp; Material inputs'!$C$19</f>
        <v>0</v>
      </c>
      <c r="AV39" s="187">
        <f>T39/'Building &amp; Material inputs'!$C$18/'Building &amp; Material inputs'!$C$19</f>
        <v>0</v>
      </c>
      <c r="AW39" s="187">
        <f>U39/'Building &amp; Material inputs'!$C$18/'Building &amp; Material inputs'!$C$19</f>
        <v>0</v>
      </c>
      <c r="AX39" s="187">
        <f>V39/'Building &amp; Material inputs'!$C$18/'Building &amp; Material inputs'!$C$19</f>
        <v>0</v>
      </c>
      <c r="AY39" s="187">
        <f>W39/'Building &amp; Material inputs'!$C$18/'Building &amp; Material inputs'!$C$19</f>
        <v>0</v>
      </c>
      <c r="AZ39" s="187">
        <f>X39/'Building &amp; Material inputs'!$C$18/'Building &amp; Material inputs'!$C$19</f>
        <v>0</v>
      </c>
      <c r="BA39" s="187">
        <f>Y39/'Building &amp; Material inputs'!$C$18/'Building &amp; Material inputs'!$C$19</f>
        <v>0</v>
      </c>
      <c r="BB39" s="139">
        <f>Z39/'Building &amp; Material inputs'!$C$18/'Building &amp; Material inputs'!$C$19</f>
        <v>0</v>
      </c>
      <c r="BC39" s="139">
        <f>AA39/'Building &amp; Material inputs'!$C$18/'Building &amp; Material inputs'!$C$19</f>
        <v>0</v>
      </c>
      <c r="BD39" s="139">
        <f>AB39/'Building &amp; Material inputs'!$C$18/'Building &amp; Material inputs'!$C$19</f>
        <v>0</v>
      </c>
      <c r="BE39" s="139">
        <f>AC39/'Building &amp; Material inputs'!$C$18/'Building &amp; Material inputs'!$C$19</f>
        <v>0</v>
      </c>
      <c r="BF39" s="139">
        <f>AD39/'Building &amp; Material inputs'!$C$18/'Building &amp; Material inputs'!$C$19</f>
        <v>0</v>
      </c>
      <c r="BG39" s="139">
        <f>AE39/'Building &amp; Material inputs'!$C$18/'Building &amp; Material inputs'!$C$19</f>
        <v>0</v>
      </c>
      <c r="BH39" s="139">
        <f>AF39/'Building &amp; Material inputs'!$C$18/'Building &amp; Material inputs'!$C$19</f>
        <v>0</v>
      </c>
      <c r="BI39" s="170">
        <f>AG39/'Building &amp; Material inputs'!$C$18/'Building &amp; Material inputs'!$C$19</f>
        <v>0</v>
      </c>
      <c r="BJ39" s="170">
        <f>AH39/'Building &amp; Material inputs'!$C$18/'Building &amp; Material inputs'!$C$19</f>
        <v>0</v>
      </c>
      <c r="BK39" s="170">
        <f>AI39/'Building &amp; Material inputs'!$C$18/'Building &amp; Material inputs'!$C$19</f>
        <v>0</v>
      </c>
      <c r="BL39" s="170">
        <f>AJ39/'Building &amp; Material inputs'!$C$18/'Building &amp; Material inputs'!$C$19</f>
        <v>0</v>
      </c>
      <c r="BM39" s="170">
        <f>AK39/'Building &amp; Material inputs'!$C$18/'Building &amp; Material inputs'!$C$19</f>
        <v>0</v>
      </c>
      <c r="BN39" s="170">
        <f>AL39/'Building &amp; Material inputs'!$C$18/'Building &amp; Material inputs'!$C$19</f>
        <v>0</v>
      </c>
      <c r="BO39" s="170">
        <f>AM39/'Building &amp; Material inputs'!$C$18/'Building &amp; Material inputs'!$C$19</f>
        <v>0</v>
      </c>
    </row>
    <row r="40" spans="2:67" x14ac:dyDescent="0.25">
      <c r="B40" s="334"/>
      <c r="C40" s="320"/>
      <c r="D40" s="305"/>
      <c r="E40" s="305"/>
      <c r="F40" s="15" t="s">
        <v>120</v>
      </c>
      <c r="G40" s="7" t="s">
        <v>21</v>
      </c>
      <c r="H40" s="7" t="str">
        <f>'Material quantities'!G41</f>
        <v>ST</v>
      </c>
      <c r="I40" s="38">
        <f>'Material quantities'!O41</f>
        <v>0</v>
      </c>
      <c r="J40" s="42" t="s">
        <v>15</v>
      </c>
      <c r="K40" s="2"/>
      <c r="L40" s="144">
        <f>VLOOKUP($H40,'Material impact data'!$E$19:$AM$61,6,0)/VLOOKUP($H40,'Material impact data'!$E$19:$AM$61,4,0)*$I40</f>
        <v>0</v>
      </c>
      <c r="M40" s="140">
        <f>VLOOKUP($H40,'Material impact data'!$E$19:$AM$61,'Material impact data'!M$15,0)/VLOOKUP($H40,'Material impact data'!$E$19:$AM$61,4,0)*$I40</f>
        <v>0</v>
      </c>
      <c r="N40" s="140">
        <f>VLOOKUP($H40,'Material impact data'!$E$19:$AM$61,'Material impact data'!N$15,0)/VLOOKUP($H40,'Material impact data'!$E$19:$AM$61,4,0)*$I40</f>
        <v>0</v>
      </c>
      <c r="O40" s="185">
        <f>VLOOKUP($H40,'Material impact data'!$E$19:$AM$61,'Material impact data'!O$15,0)/VLOOKUP($H40,'Material impact data'!$E$19:$AM$61,4,0)*$I40</f>
        <v>0</v>
      </c>
      <c r="P40" s="185">
        <f>VLOOKUP($H40,'Material impact data'!$E$19:$AM$61,'Material impact data'!P$15,0)/VLOOKUP($H40,'Material impact data'!$E$19:$AM$61,4,0)*$I40</f>
        <v>0</v>
      </c>
      <c r="Q40" s="186">
        <f>VLOOKUP($H40,'Material impact data'!$E$19:$AM$61,'Material impact data'!Q$15,0)/VLOOKUP($H40,'Material impact data'!$E$19:$AM$61,4,0)*$I40</f>
        <v>0</v>
      </c>
      <c r="R40" s="186">
        <f>VLOOKUP($H40,'Material impact data'!$E$19:$AM$61,'Material impact data'!R$15,0)/VLOOKUP($H40,'Material impact data'!$E$19:$AM$61,4,0)*$I40</f>
        <v>0</v>
      </c>
      <c r="S40" s="140">
        <f>VLOOKUP($H40,'Material impact data'!$E$19:$AM$61,'Material impact data'!S$15,0)/VLOOKUP($H40,'Material impact data'!$E$19:$AM$61,4,0)*$I40</f>
        <v>0</v>
      </c>
      <c r="T40" s="140">
        <f>VLOOKUP($H40,'Material impact data'!$E$19:$AM$61,'Material impact data'!T$15,0)/VLOOKUP($H40,'Material impact data'!$E$19:$AM$61,4,0)*$I40</f>
        <v>0</v>
      </c>
      <c r="U40" s="140">
        <f>VLOOKUP($H40,'Material impact data'!$E$19:$AM$61,'Material impact data'!U$15,0)/VLOOKUP($H40,'Material impact data'!$E$19:$AM$61,4,0)*$I40</f>
        <v>0</v>
      </c>
      <c r="V40" s="140">
        <f>VLOOKUP($H40,'Material impact data'!$E$19:$AM$61,'Material impact data'!V$15,0)/VLOOKUP($H40,'Material impact data'!$E$19:$AM$61,4,0)*$I40</f>
        <v>0</v>
      </c>
      <c r="W40" s="140">
        <f>VLOOKUP($H40,'Material impact data'!$E$19:$AM$61,'Material impact data'!W$15,0)/VLOOKUP($H40,'Material impact data'!$E$19:$AM$61,4,0)*$I40</f>
        <v>0</v>
      </c>
      <c r="X40" s="140">
        <f>VLOOKUP($H40,'Material impact data'!$E$19:$AM$61,'Material impact data'!X$15,0)/VLOOKUP($H40,'Material impact data'!$E$19:$AM$61,4,0)*$I40</f>
        <v>0</v>
      </c>
      <c r="Y40" s="140">
        <f>VLOOKUP($H40,'Material impact data'!$E$19:$AM$61,'Material impact data'!Y$15,0)/VLOOKUP($H40,'Material impact data'!$E$19:$AM$61,4,0)*$I40</f>
        <v>0</v>
      </c>
      <c r="Z40" s="185">
        <f>VLOOKUP($H40,'Material impact data'!$E$19:$AM$61,'Material impact data'!Z$15,0)/VLOOKUP($H40,'Material impact data'!$E$19:$AM$61,4,0)*$I40</f>
        <v>0</v>
      </c>
      <c r="AA40" s="185">
        <f>VLOOKUP($H40,'Material impact data'!$E$19:$AM$61,'Material impact data'!AA$15,0)/VLOOKUP($H40,'Material impact data'!$E$19:$AM$61,4,0)*$I40</f>
        <v>0</v>
      </c>
      <c r="AB40" s="185">
        <f>VLOOKUP($H40,'Material impact data'!$E$19:$AM$61,'Material impact data'!AB$15,0)/VLOOKUP($H40,'Material impact data'!$E$19:$AM$61,4,0)*$I40</f>
        <v>0</v>
      </c>
      <c r="AC40" s="185">
        <f>VLOOKUP($H40,'Material impact data'!$E$19:$AM$61,'Material impact data'!AC$15,0)/VLOOKUP($H40,'Material impact data'!$E$19:$AM$61,4,0)*$I40</f>
        <v>0</v>
      </c>
      <c r="AD40" s="185">
        <f>VLOOKUP($H40,'Material impact data'!$E$19:$AM$61,'Material impact data'!AD$15,0)/VLOOKUP($H40,'Material impact data'!$E$19:$AM$61,4,0)*$I40</f>
        <v>0</v>
      </c>
      <c r="AE40" s="185">
        <f>VLOOKUP($H40,'Material impact data'!$E$19:$AM$61,'Material impact data'!AE$15,0)/VLOOKUP($H40,'Material impact data'!$E$19:$AM$61,4,0)*$I40</f>
        <v>0</v>
      </c>
      <c r="AF40" s="185">
        <f>VLOOKUP($H40,'Material impact data'!$E$19:$AM$61,'Material impact data'!AF$15,0)/VLOOKUP($H40,'Material impact data'!$E$19:$AM$61,4,0)*$I40</f>
        <v>0</v>
      </c>
      <c r="AG40" s="186">
        <f>VLOOKUP($H40,'Material impact data'!$E$19:$AM$61,'Material impact data'!AG$15,0)/VLOOKUP($H40,'Material impact data'!$E$19:$AM$61,4,0)*$I40</f>
        <v>0</v>
      </c>
      <c r="AH40" s="186">
        <f>VLOOKUP($H40,'Material impact data'!$E$19:$AM$61,'Material impact data'!AH$15,0)/VLOOKUP($H40,'Material impact data'!$E$19:$AM$61,4,0)*$I40</f>
        <v>0</v>
      </c>
      <c r="AI40" s="186">
        <f>VLOOKUP($H40,'Material impact data'!$E$19:$AM$61,'Material impact data'!AI$15,0)/VLOOKUP($H40,'Material impact data'!$E$19:$AM$61,4,0)*$I40</f>
        <v>0</v>
      </c>
      <c r="AJ40" s="186">
        <f>VLOOKUP($H40,'Material impact data'!$E$19:$AM$61,'Material impact data'!AJ$15,0)/VLOOKUP($H40,'Material impact data'!$E$19:$AM$61,4,0)*$I40</f>
        <v>0</v>
      </c>
      <c r="AK40" s="186">
        <f>VLOOKUP($H40,'Material impact data'!$E$19:$AM$61,'Material impact data'!AK$15,0)/VLOOKUP($H40,'Material impact data'!$E$19:$AM$61,4,0)*$I40</f>
        <v>0</v>
      </c>
      <c r="AL40" s="186">
        <f>VLOOKUP($H40,'Material impact data'!$E$19:$AM$61,'Material impact data'!AL$15,0)/VLOOKUP($H40,'Material impact data'!$E$19:$AM$61,4,0)*$I40</f>
        <v>0</v>
      </c>
      <c r="AM40" s="186">
        <f>VLOOKUP($H40,'Material impact data'!$E$19:$AM$61,'Material impact data'!AM$15,0)/VLOOKUP($H40,'Material impact data'!$E$19:$AM$61,4,0)*$I40</f>
        <v>0</v>
      </c>
      <c r="AO40" s="187">
        <f>M40/'Building &amp; Material inputs'!$C$18/'Building &amp; Material inputs'!$C$19</f>
        <v>0</v>
      </c>
      <c r="AP40" s="187">
        <f>N40/'Building &amp; Material inputs'!$C$18/'Building &amp; Material inputs'!$C$19</f>
        <v>0</v>
      </c>
      <c r="AQ40" s="139">
        <f>O40/'Building &amp; Material inputs'!$C$18/'Building &amp; Material inputs'!$C$19</f>
        <v>0</v>
      </c>
      <c r="AR40" s="139">
        <f>P40/'Building &amp; Material inputs'!$C$18/'Building &amp; Material inputs'!$C$19</f>
        <v>0</v>
      </c>
      <c r="AS40" s="170">
        <f>Q40/'Building &amp; Material inputs'!$C$18/'Building &amp; Material inputs'!$C$19</f>
        <v>0</v>
      </c>
      <c r="AT40" s="170">
        <f>R40/'Building &amp; Material inputs'!$C$18/'Building &amp; Material inputs'!$C$19</f>
        <v>0</v>
      </c>
      <c r="AU40" s="187">
        <f>S40/'Building &amp; Material inputs'!$C$18/'Building &amp; Material inputs'!$C$19</f>
        <v>0</v>
      </c>
      <c r="AV40" s="187">
        <f>T40/'Building &amp; Material inputs'!$C$18/'Building &amp; Material inputs'!$C$19</f>
        <v>0</v>
      </c>
      <c r="AW40" s="187">
        <f>U40/'Building &amp; Material inputs'!$C$18/'Building &amp; Material inputs'!$C$19</f>
        <v>0</v>
      </c>
      <c r="AX40" s="187">
        <f>V40/'Building &amp; Material inputs'!$C$18/'Building &amp; Material inputs'!$C$19</f>
        <v>0</v>
      </c>
      <c r="AY40" s="187">
        <f>W40/'Building &amp; Material inputs'!$C$18/'Building &amp; Material inputs'!$C$19</f>
        <v>0</v>
      </c>
      <c r="AZ40" s="187">
        <f>X40/'Building &amp; Material inputs'!$C$18/'Building &amp; Material inputs'!$C$19</f>
        <v>0</v>
      </c>
      <c r="BA40" s="187">
        <f>Y40/'Building &amp; Material inputs'!$C$18/'Building &amp; Material inputs'!$C$19</f>
        <v>0</v>
      </c>
      <c r="BB40" s="139">
        <f>Z40/'Building &amp; Material inputs'!$C$18/'Building &amp; Material inputs'!$C$19</f>
        <v>0</v>
      </c>
      <c r="BC40" s="139">
        <f>AA40/'Building &amp; Material inputs'!$C$18/'Building &amp; Material inputs'!$C$19</f>
        <v>0</v>
      </c>
      <c r="BD40" s="139">
        <f>AB40/'Building &amp; Material inputs'!$C$18/'Building &amp; Material inputs'!$C$19</f>
        <v>0</v>
      </c>
      <c r="BE40" s="139">
        <f>AC40/'Building &amp; Material inputs'!$C$18/'Building &amp; Material inputs'!$C$19</f>
        <v>0</v>
      </c>
      <c r="BF40" s="139">
        <f>AD40/'Building &amp; Material inputs'!$C$18/'Building &amp; Material inputs'!$C$19</f>
        <v>0</v>
      </c>
      <c r="BG40" s="139">
        <f>AE40/'Building &amp; Material inputs'!$C$18/'Building &amp; Material inputs'!$C$19</f>
        <v>0</v>
      </c>
      <c r="BH40" s="139">
        <f>AF40/'Building &amp; Material inputs'!$C$18/'Building &amp; Material inputs'!$C$19</f>
        <v>0</v>
      </c>
      <c r="BI40" s="170">
        <f>AG40/'Building &amp; Material inputs'!$C$18/'Building &amp; Material inputs'!$C$19</f>
        <v>0</v>
      </c>
      <c r="BJ40" s="170">
        <f>AH40/'Building &amp; Material inputs'!$C$18/'Building &amp; Material inputs'!$C$19</f>
        <v>0</v>
      </c>
      <c r="BK40" s="170">
        <f>AI40/'Building &amp; Material inputs'!$C$18/'Building &amp; Material inputs'!$C$19</f>
        <v>0</v>
      </c>
      <c r="BL40" s="170">
        <f>AJ40/'Building &amp; Material inputs'!$C$18/'Building &amp; Material inputs'!$C$19</f>
        <v>0</v>
      </c>
      <c r="BM40" s="170">
        <f>AK40/'Building &amp; Material inputs'!$C$18/'Building &amp; Material inputs'!$C$19</f>
        <v>0</v>
      </c>
      <c r="BN40" s="170">
        <f>AL40/'Building &amp; Material inputs'!$C$18/'Building &amp; Material inputs'!$C$19</f>
        <v>0</v>
      </c>
      <c r="BO40" s="170">
        <f>AM40/'Building &amp; Material inputs'!$C$18/'Building &amp; Material inputs'!$C$19</f>
        <v>0</v>
      </c>
    </row>
    <row r="41" spans="2:67" x14ac:dyDescent="0.25">
      <c r="B41" s="334"/>
      <c r="C41" s="320"/>
      <c r="D41" s="305"/>
      <c r="E41" s="305"/>
      <c r="F41" s="15" t="s">
        <v>121</v>
      </c>
      <c r="G41" s="7" t="s">
        <v>19</v>
      </c>
      <c r="H41" s="7" t="str">
        <f>'Material quantities'!G42</f>
        <v>CON3</v>
      </c>
      <c r="I41" s="38">
        <f>'Material quantities'!O42</f>
        <v>19.68</v>
      </c>
      <c r="J41" s="42" t="s">
        <v>14</v>
      </c>
      <c r="K41" s="2"/>
      <c r="L41" s="144">
        <f>VLOOKUP($H41,'Material impact data'!$E$19:$AM$61,6,0)/VLOOKUP($H41,'Material impact data'!$E$19:$AM$61,4,0)*$I41</f>
        <v>8029.44</v>
      </c>
      <c r="M41" s="140">
        <f>VLOOKUP($H41,'Material impact data'!$E$19:$AM$61,'Material impact data'!M$15,0)/VLOOKUP($H41,'Material impact data'!$E$19:$AM$61,4,0)*$I41</f>
        <v>3739.2</v>
      </c>
      <c r="N41" s="140">
        <f>VLOOKUP($H41,'Material impact data'!$E$19:$AM$61,'Material impact data'!N$15,0)/VLOOKUP($H41,'Material impact data'!$E$19:$AM$61,4,0)*$I41</f>
        <v>27552</v>
      </c>
      <c r="O41" s="185">
        <f>VLOOKUP($H41,'Material impact data'!$E$19:$AM$61,'Material impact data'!O$15,0)/VLOOKUP($H41,'Material impact data'!$E$19:$AM$61,4,0)*$I41</f>
        <v>67.305599999999998</v>
      </c>
      <c r="P41" s="185">
        <f>VLOOKUP($H41,'Material impact data'!$E$19:$AM$61,'Material impact data'!P$15,0)/VLOOKUP($H41,'Material impact data'!$E$19:$AM$61,4,0)*$I41</f>
        <v>1161.1199999999999</v>
      </c>
      <c r="Q41" s="186">
        <f>VLOOKUP($H41,'Material impact data'!$E$19:$AM$61,'Material impact data'!Q$15,0)/VLOOKUP($H41,'Material impact data'!$E$19:$AM$61,4,0)*$I41</f>
        <v>0</v>
      </c>
      <c r="R41" s="186">
        <f>VLOOKUP($H41,'Material impact data'!$E$19:$AM$61,'Material impact data'!R$15,0)/VLOOKUP($H41,'Material impact data'!$E$19:$AM$61,4,0)*$I41</f>
        <v>31.881600000000002</v>
      </c>
      <c r="S41" s="140">
        <f>VLOOKUP($H41,'Material impact data'!$E$19:$AM$61,'Material impact data'!S$15,0)/VLOOKUP($H41,'Material impact data'!$E$19:$AM$61,4,0)*$I41</f>
        <v>5549.76</v>
      </c>
      <c r="T41" s="140">
        <f>VLOOKUP($H41,'Material impact data'!$E$19:$AM$61,'Material impact data'!T$15,0)/VLOOKUP($H41,'Material impact data'!$E$19:$AM$61,4,0)*$I41</f>
        <v>26764.799999999999</v>
      </c>
      <c r="U41" s="140">
        <f>VLOOKUP($H41,'Material impact data'!$E$19:$AM$61,'Material impact data'!U$15,0)/VLOOKUP($H41,'Material impact data'!$E$19:$AM$61,4,0)*$I41</f>
        <v>1.3579199999999999E-3</v>
      </c>
      <c r="V41" s="140">
        <f>VLOOKUP($H41,'Material impact data'!$E$19:$AM$61,'Material impact data'!V$15,0)/VLOOKUP($H41,'Material impact data'!$E$19:$AM$61,4,0)*$I41</f>
        <v>8.5804799999999997</v>
      </c>
      <c r="W41" s="140">
        <f>VLOOKUP($H41,'Material impact data'!$E$19:$AM$61,'Material impact data'!W$15,0)/VLOOKUP($H41,'Material impact data'!$E$19:$AM$61,4,0)*$I41</f>
        <v>2.7552000000000003</v>
      </c>
      <c r="X41" s="140">
        <f>VLOOKUP($H41,'Material impact data'!$E$19:$AM$61,'Material impact data'!X$15,0)/VLOOKUP($H41,'Material impact data'!$E$19:$AM$61,4,0)*$I41</f>
        <v>0.31291200000000002</v>
      </c>
      <c r="Y41" s="140">
        <f>VLOOKUP($H41,'Material impact data'!$E$19:$AM$61,'Material impact data'!Y$15,0)/VLOOKUP($H41,'Material impact data'!$E$19:$AM$61,4,0)*$I41</f>
        <v>6.5927999999999996E-5</v>
      </c>
      <c r="Z41" s="185">
        <f>VLOOKUP($H41,'Material impact data'!$E$19:$AM$61,'Material impact data'!Z$15,0)/VLOOKUP($H41,'Material impact data'!$E$19:$AM$61,4,0)*$I41</f>
        <v>85.411199999999994</v>
      </c>
      <c r="AA41" s="185">
        <f>VLOOKUP($H41,'Material impact data'!$E$19:$AM$61,'Material impact data'!AA$15,0)/VLOOKUP($H41,'Material impact data'!$E$19:$AM$61,4,0)*$I41</f>
        <v>1157.184</v>
      </c>
      <c r="AB41" s="185">
        <f>VLOOKUP($H41,'Material impact data'!$E$19:$AM$61,'Material impact data'!AB$15,0)/VLOOKUP($H41,'Material impact data'!$E$19:$AM$61,4,0)*$I41</f>
        <v>6.0614400000000004E-6</v>
      </c>
      <c r="AC41" s="185">
        <f>VLOOKUP($H41,'Material impact data'!$E$19:$AM$61,'Material impact data'!AC$15,0)/VLOOKUP($H41,'Material impact data'!$E$19:$AM$61,4,0)*$I41</f>
        <v>0.198768</v>
      </c>
      <c r="AD41" s="185">
        <f>VLOOKUP($H41,'Material impact data'!$E$19:$AM$61,'Material impact data'!AD$15,0)/VLOOKUP($H41,'Material impact data'!$E$19:$AM$61,4,0)*$I41</f>
        <v>0.47822399999999998</v>
      </c>
      <c r="AE41" s="185">
        <f>VLOOKUP($H41,'Material impact data'!$E$19:$AM$61,'Material impact data'!AE$15,0)/VLOOKUP($H41,'Material impact data'!$E$19:$AM$61,4,0)*$I41</f>
        <v>-0.66321600000000003</v>
      </c>
      <c r="AF41" s="185">
        <f>VLOOKUP($H41,'Material impact data'!$E$19:$AM$61,'Material impact data'!AF$15,0)/VLOOKUP($H41,'Material impact data'!$E$19:$AM$61,4,0)*$I41</f>
        <v>1.4090879999999999E-14</v>
      </c>
      <c r="AG41" s="186">
        <f>VLOOKUP($H41,'Material impact data'!$E$19:$AM$61,'Material impact data'!AG$15,0)/VLOOKUP($H41,'Material impact data'!$E$19:$AM$61,4,0)*$I41</f>
        <v>4.6247999999999996</v>
      </c>
      <c r="AH41" s="186">
        <f>VLOOKUP($H41,'Material impact data'!$E$19:$AM$61,'Material impact data'!AH$15,0)/VLOOKUP($H41,'Material impact data'!$E$19:$AM$61,4,0)*$I41</f>
        <v>64.727519999999998</v>
      </c>
      <c r="AI41" s="186">
        <f>VLOOKUP($H41,'Material impact data'!$E$19:$AM$61,'Material impact data'!AI$15,0)/VLOOKUP($H41,'Material impact data'!$E$19:$AM$61,4,0)*$I41</f>
        <v>1.710192E-4</v>
      </c>
      <c r="AJ41" s="186">
        <f>VLOOKUP($H41,'Material impact data'!$E$19:$AM$61,'Material impact data'!AJ$15,0)/VLOOKUP($H41,'Material impact data'!$E$19:$AM$61,4,0)*$I41</f>
        <v>0.1968</v>
      </c>
      <c r="AK41" s="186">
        <f>VLOOKUP($H41,'Material impact data'!$E$19:$AM$61,'Material impact data'!AK$15,0)/VLOOKUP($H41,'Material impact data'!$E$19:$AM$61,4,0)*$I41</f>
        <v>0.78720000000000001</v>
      </c>
      <c r="AL41" s="186">
        <f>VLOOKUP($H41,'Material impact data'!$E$19:$AM$61,'Material impact data'!AL$15,0)/VLOOKUP($H41,'Material impact data'!$E$19:$AM$61,4,0)*$I41</f>
        <v>3.9360000000000003E-3</v>
      </c>
      <c r="AM41" s="186">
        <f>VLOOKUP($H41,'Material impact data'!$E$19:$AM$61,'Material impact data'!AM$15,0)/VLOOKUP($H41,'Material impact data'!$E$19:$AM$61,4,0)*$I41</f>
        <v>3.0503999999999998E-7</v>
      </c>
      <c r="AO41" s="187">
        <f>M41/'Building &amp; Material inputs'!$C$18/'Building &amp; Material inputs'!$C$19</f>
        <v>0.29040074557315937</v>
      </c>
      <c r="AP41" s="187">
        <f>N41/'Building &amp; Material inputs'!$C$18/'Building &amp; Material inputs'!$C$19</f>
        <v>2.1397949673811745</v>
      </c>
      <c r="AQ41" s="139">
        <f>O41/'Building &amp; Material inputs'!$C$18/'Building &amp; Material inputs'!$C$19</f>
        <v>5.2272134203168686E-3</v>
      </c>
      <c r="AR41" s="139">
        <f>P41/'Building &amp; Material inputs'!$C$18/'Building &amp; Material inputs'!$C$19</f>
        <v>9.0177073625349491E-2</v>
      </c>
      <c r="AS41" s="170">
        <f>Q41/'Building &amp; Material inputs'!$C$18/'Building &amp; Material inputs'!$C$19</f>
        <v>0</v>
      </c>
      <c r="AT41" s="170">
        <f>R41/'Building &amp; Material inputs'!$C$18/'Building &amp; Material inputs'!$C$19</f>
        <v>2.4760484622553592E-3</v>
      </c>
      <c r="AU41" s="187">
        <f>S41/'Building &amp; Material inputs'!$C$18/'Building &amp; Material inputs'!$C$19</f>
        <v>0.43101584342963656</v>
      </c>
      <c r="AV41" s="187">
        <f>T41/'Building &amp; Material inputs'!$C$18/'Building &amp; Material inputs'!$C$19</f>
        <v>2.0786579683131405</v>
      </c>
      <c r="AW41" s="187">
        <f>U41/'Building &amp; Material inputs'!$C$18/'Building &amp; Material inputs'!$C$19</f>
        <v>1.0546132339235786E-7</v>
      </c>
      <c r="AX41" s="187">
        <f>V41/'Building &amp; Material inputs'!$C$18/'Building &amp; Material inputs'!$C$19</f>
        <v>6.6639328984156572E-4</v>
      </c>
      <c r="AY41" s="187">
        <f>W41/'Building &amp; Material inputs'!$C$18/'Building &amp; Material inputs'!$C$19</f>
        <v>2.1397949673811746E-4</v>
      </c>
      <c r="AZ41" s="187">
        <f>X41/'Building &amp; Material inputs'!$C$18/'Building &amp; Material inputs'!$C$19</f>
        <v>2.430195712954334E-5</v>
      </c>
      <c r="BA41" s="187">
        <f>Y41/'Building &amp; Material inputs'!$C$18/'Building &amp; Material inputs'!$C$19</f>
        <v>5.1202236719478097E-9</v>
      </c>
      <c r="BB41" s="139">
        <f>Z41/'Building &amp; Material inputs'!$C$18/'Building &amp; Material inputs'!$C$19</f>
        <v>6.6333643988816405E-3</v>
      </c>
      <c r="BC41" s="139">
        <f>AA41/'Building &amp; Material inputs'!$C$18/'Building &amp; Material inputs'!$C$19</f>
        <v>8.9871388630009333E-2</v>
      </c>
      <c r="BD41" s="139">
        <f>AB41/'Building &amp; Material inputs'!$C$18/'Building &amp; Material inputs'!$C$19</f>
        <v>4.7075489282385835E-10</v>
      </c>
      <c r="BE41" s="139">
        <f>AC41/'Building &amp; Material inputs'!$C$18/'Building &amp; Material inputs'!$C$19</f>
        <v>1.5437092264678473E-5</v>
      </c>
      <c r="BF41" s="139">
        <f>AD41/'Building &amp; Material inputs'!$C$18/'Building &amp; Material inputs'!$C$19</f>
        <v>3.7140726933830385E-5</v>
      </c>
      <c r="BG41" s="139">
        <f>AE41/'Building &amp; Material inputs'!$C$18/'Building &amp; Material inputs'!$C$19</f>
        <v>-5.1507921714818273E-5</v>
      </c>
      <c r="BH41" s="139">
        <f>AF41/'Building &amp; Material inputs'!$C$18/'Building &amp; Material inputs'!$C$19</f>
        <v>1.0943522833178007E-18</v>
      </c>
      <c r="BI41" s="170">
        <f>AG41/'Building &amp; Material inputs'!$C$18/'Building &amp; Material inputs'!$C$19</f>
        <v>3.5917986952469714E-4</v>
      </c>
      <c r="BJ41" s="170">
        <f>AH41/'Building &amp; Material inputs'!$C$18/'Building &amp; Material inputs'!$C$19</f>
        <v>5.0269897483690585E-3</v>
      </c>
      <c r="BK41" s="170">
        <f>AI41/'Building &amp; Material inputs'!$C$18/'Building &amp; Material inputs'!$C$19</f>
        <v>1.328201304753029E-8</v>
      </c>
      <c r="BL41" s="170">
        <f>AJ41/'Building &amp; Material inputs'!$C$18/'Building &amp; Material inputs'!$C$19</f>
        <v>1.5284249767008391E-5</v>
      </c>
      <c r="BM41" s="170">
        <f>AK41/'Building &amp; Material inputs'!$C$18/'Building &amp; Material inputs'!$C$19</f>
        <v>6.1136999068033563E-5</v>
      </c>
      <c r="BN41" s="170">
        <f>AL41/'Building &amp; Material inputs'!$C$18/'Building &amp; Material inputs'!$C$19</f>
        <v>3.0568499534016783E-7</v>
      </c>
      <c r="BO41" s="170">
        <f>AM41/'Building &amp; Material inputs'!$C$18/'Building &amp; Material inputs'!$C$19</f>
        <v>2.3690587138863001E-11</v>
      </c>
    </row>
    <row r="42" spans="2:67" x14ac:dyDescent="0.25">
      <c r="B42" s="334"/>
      <c r="C42" s="320"/>
      <c r="D42" s="305"/>
      <c r="E42" s="306"/>
      <c r="F42" s="15" t="s">
        <v>598</v>
      </c>
      <c r="G42" s="7" t="s">
        <v>20</v>
      </c>
      <c r="H42" s="7" t="str">
        <f>'Material quantities'!G43</f>
        <v>REB</v>
      </c>
      <c r="I42" s="38">
        <f>'Material quantities'!O43</f>
        <v>2707.9679999999998</v>
      </c>
      <c r="J42" s="42" t="s">
        <v>15</v>
      </c>
      <c r="K42" s="2"/>
      <c r="L42" s="144">
        <f>VLOOKUP($H42,'Material impact data'!$E$19:$AM$61,6,0)/VLOOKUP($H42,'Material impact data'!$E$19:$AM$61,4,0)*$I42</f>
        <v>4874.3423999999995</v>
      </c>
      <c r="M42" s="140">
        <f>VLOOKUP($H42,'Material impact data'!$E$19:$AM$61,'Material impact data'!M$15,0)/VLOOKUP($H42,'Material impact data'!$E$19:$AM$61,4,0)*$I42</f>
        <v>4289.4213120000004</v>
      </c>
      <c r="N42" s="140">
        <f>VLOOKUP($H42,'Material impact data'!$E$19:$AM$61,'Material impact data'!N$15,0)/VLOOKUP($H42,'Material impact data'!$E$19:$AM$61,4,0)*$I42</f>
        <v>19483.829760000001</v>
      </c>
      <c r="O42" s="185">
        <f>VLOOKUP($H42,'Material impact data'!$E$19:$AM$61,'Material impact data'!O$15,0)/VLOOKUP($H42,'Material impact data'!$E$19:$AM$61,4,0)*$I42</f>
        <v>32.495615999999998</v>
      </c>
      <c r="P42" s="185">
        <f>VLOOKUP($H42,'Material impact data'!$E$19:$AM$61,'Material impact data'!P$15,0)/VLOOKUP($H42,'Material impact data'!$E$19:$AM$61,4,0)*$I42</f>
        <v>1776.4270079999999</v>
      </c>
      <c r="Q42" s="186">
        <f>VLOOKUP($H42,'Material impact data'!$E$19:$AM$61,'Material impact data'!Q$15,0)/VLOOKUP($H42,'Material impact data'!$E$19:$AM$61,4,0)*$I42</f>
        <v>0</v>
      </c>
      <c r="R42" s="186">
        <f>VLOOKUP($H42,'Material impact data'!$E$19:$AM$61,'Material impact data'!R$15,0)/VLOOKUP($H42,'Material impact data'!$E$19:$AM$61,4,0)*$I42</f>
        <v>8.1239039999999985E-2</v>
      </c>
      <c r="S42" s="140">
        <f>VLOOKUP($H42,'Material impact data'!$E$19:$AM$61,'Material impact data'!S$15,0)/VLOOKUP($H42,'Material impact data'!$E$19:$AM$61,4,0)*$I42</f>
        <v>1427.099136</v>
      </c>
      <c r="T42" s="140">
        <f>VLOOKUP($H42,'Material impact data'!$E$19:$AM$61,'Material impact data'!T$15,0)/VLOOKUP($H42,'Material impact data'!$E$19:$AM$61,4,0)*$I42</f>
        <v>17669.4912</v>
      </c>
      <c r="U42" s="140">
        <f>VLOOKUP($H42,'Material impact data'!$E$19:$AM$61,'Material impact data'!U$15,0)/VLOOKUP($H42,'Material impact data'!$E$19:$AM$61,4,0)*$I42</f>
        <v>2.7602317823999995E-3</v>
      </c>
      <c r="V42" s="140">
        <f>VLOOKUP($H42,'Material impact data'!$E$19:$AM$61,'Material impact data'!V$15,0)/VLOOKUP($H42,'Material impact data'!$E$19:$AM$61,4,0)*$I42</f>
        <v>5.4159359999999994</v>
      </c>
      <c r="W42" s="140">
        <f>VLOOKUP($H42,'Material impact data'!$E$19:$AM$61,'Material impact data'!W$15,0)/VLOOKUP($H42,'Material impact data'!$E$19:$AM$61,4,0)*$I42</f>
        <v>2.3071887360000001</v>
      </c>
      <c r="X42" s="140">
        <f>VLOOKUP($H42,'Material impact data'!$E$19:$AM$61,'Material impact data'!X$15,0)/VLOOKUP($H42,'Material impact data'!$E$19:$AM$61,4,0)*$I42</f>
        <v>0.50909798399999995</v>
      </c>
      <c r="Y42" s="140">
        <f>VLOOKUP($H42,'Material impact data'!$E$19:$AM$61,'Material impact data'!Y$15,0)/VLOOKUP($H42,'Material impact data'!$E$19:$AM$61,4,0)*$I42</f>
        <v>1.4597030707199998E-4</v>
      </c>
      <c r="Z42" s="185">
        <f>VLOOKUP($H42,'Material impact data'!$E$19:$AM$61,'Material impact data'!Z$15,0)/VLOOKUP($H42,'Material impact data'!$E$19:$AM$61,4,0)*$I42</f>
        <v>111.02668799999999</v>
      </c>
      <c r="AA42" s="185">
        <f>VLOOKUP($H42,'Material impact data'!$E$19:$AM$61,'Material impact data'!AA$15,0)/VLOOKUP($H42,'Material impact data'!$E$19:$AM$61,4,0)*$I42</f>
        <v>1719.5596799999998</v>
      </c>
      <c r="AB42" s="185">
        <f>VLOOKUP($H42,'Material impact data'!$E$19:$AM$61,'Material impact data'!AB$15,0)/VLOOKUP($H42,'Material impact data'!$E$19:$AM$61,4,0)*$I42</f>
        <v>1.9334891519999999E-4</v>
      </c>
      <c r="AC42" s="185">
        <f>VLOOKUP($H42,'Material impact data'!$E$19:$AM$61,'Material impact data'!AC$15,0)/VLOOKUP($H42,'Material impact data'!$E$19:$AM$61,4,0)*$I42</f>
        <v>0.64991231999999988</v>
      </c>
      <c r="AD42" s="185">
        <f>VLOOKUP($H42,'Material impact data'!$E$19:$AM$61,'Material impact data'!AD$15,0)/VLOOKUP($H42,'Material impact data'!$E$19:$AM$61,4,0)*$I42</f>
        <v>0.113734656</v>
      </c>
      <c r="AE42" s="185">
        <f>VLOOKUP($H42,'Material impact data'!$E$19:$AM$61,'Material impact data'!AE$15,0)/VLOOKUP($H42,'Material impact data'!$E$19:$AM$61,4,0)*$I42</f>
        <v>2.4371711999999993E-2</v>
      </c>
      <c r="AF42" s="185">
        <f>VLOOKUP($H42,'Material impact data'!$E$19:$AM$61,'Material impact data'!AF$15,0)/VLOOKUP($H42,'Material impact data'!$E$19:$AM$61,4,0)*$I42</f>
        <v>2.1284628479999994E-5</v>
      </c>
      <c r="AG42" s="186">
        <f>VLOOKUP($H42,'Material impact data'!$E$19:$AM$61,'Material impact data'!AG$15,0)/VLOOKUP($H42,'Material impact data'!$E$19:$AM$61,4,0)*$I42</f>
        <v>2.271985152E-4</v>
      </c>
      <c r="AH42" s="186">
        <f>VLOOKUP($H42,'Material impact data'!$E$19:$AM$61,'Material impact data'!AH$15,0)/VLOOKUP($H42,'Material impact data'!$E$19:$AM$61,4,0)*$I42</f>
        <v>2.7079679999999998E-3</v>
      </c>
      <c r="AI42" s="186">
        <f>VLOOKUP($H42,'Material impact data'!$E$19:$AM$61,'Material impact data'!AI$15,0)/VLOOKUP($H42,'Material impact data'!$E$19:$AM$61,4,0)*$I42</f>
        <v>8.3947008000000006E-9</v>
      </c>
      <c r="AJ42" s="186">
        <f>VLOOKUP($H42,'Material impact data'!$E$19:$AM$61,'Material impact data'!AJ$15,0)/VLOOKUP($H42,'Material impact data'!$E$19:$AM$61,4,0)*$I42</f>
        <v>9.9924019199999979E-7</v>
      </c>
      <c r="AK42" s="186">
        <f>VLOOKUP($H42,'Material impact data'!$E$19:$AM$61,'Material impact data'!AK$15,0)/VLOOKUP($H42,'Material impact data'!$E$19:$AM$61,4,0)*$I42</f>
        <v>4.0890316799999999E-6</v>
      </c>
      <c r="AL42" s="186">
        <f>VLOOKUP($H42,'Material impact data'!$E$19:$AM$61,'Material impact data'!AL$15,0)/VLOOKUP($H42,'Material impact data'!$E$19:$AM$61,4,0)*$I42</f>
        <v>1.9307811839999999E-7</v>
      </c>
      <c r="AM42" s="186">
        <f>VLOOKUP($H42,'Material impact data'!$E$19:$AM$61,'Material impact data'!AM$15,0)/VLOOKUP($H42,'Material impact data'!$E$19:$AM$61,4,0)*$I42</f>
        <v>1.4975063040000001E-11</v>
      </c>
      <c r="AO42" s="187">
        <f>M42/'Building &amp; Material inputs'!$C$18/'Building &amp; Material inputs'!$C$19</f>
        <v>0.33313306244175217</v>
      </c>
      <c r="AP42" s="187">
        <f>N42/'Building &amp; Material inputs'!$C$18/'Building &amp; Material inputs'!$C$19</f>
        <v>1.5131896365330848</v>
      </c>
      <c r="AQ42" s="139">
        <f>O42/'Building &amp; Material inputs'!$C$18/'Building &amp; Material inputs'!$C$19</f>
        <v>2.5237353215284255E-3</v>
      </c>
      <c r="AR42" s="139">
        <f>P42/'Building &amp; Material inputs'!$C$18/'Building &amp; Material inputs'!$C$19</f>
        <v>0.13796419757688722</v>
      </c>
      <c r="AS42" s="170">
        <f>Q42/'Building &amp; Material inputs'!$C$18/'Building &amp; Material inputs'!$C$19</f>
        <v>0</v>
      </c>
      <c r="AT42" s="170">
        <f>R42/'Building &amp; Material inputs'!$C$18/'Building &amp; Material inputs'!$C$19</f>
        <v>6.3093383038210617E-6</v>
      </c>
      <c r="AU42" s="187">
        <f>S42/'Building &amp; Material inputs'!$C$18/'Building &amp; Material inputs'!$C$19</f>
        <v>0.11083404287045667</v>
      </c>
      <c r="AV42" s="187">
        <f>T42/'Building &amp; Material inputs'!$C$18/'Building &amp; Material inputs'!$C$19</f>
        <v>1.3722810810810813</v>
      </c>
      <c r="AW42" s="187">
        <f>U42/'Building &amp; Material inputs'!$C$18/'Building &amp; Material inputs'!$C$19</f>
        <v>2.1437028443616027E-7</v>
      </c>
      <c r="AX42" s="187">
        <f>V42/'Building &amp; Material inputs'!$C$18/'Building &amp; Material inputs'!$C$19</f>
        <v>4.2062255358807084E-4</v>
      </c>
      <c r="AY42" s="187">
        <f>W42/'Building &amp; Material inputs'!$C$18/'Building &amp; Material inputs'!$C$19</f>
        <v>1.7918520782851818E-4</v>
      </c>
      <c r="AZ42" s="187">
        <f>X42/'Building &amp; Material inputs'!$C$18/'Building &amp; Material inputs'!$C$19</f>
        <v>3.9538520037278661E-5</v>
      </c>
      <c r="BA42" s="187">
        <f>Y42/'Building &amp; Material inputs'!$C$18/'Building &amp; Material inputs'!$C$19</f>
        <v>1.1336619064305684E-8</v>
      </c>
      <c r="BB42" s="139">
        <f>Z42/'Building &amp; Material inputs'!$C$18/'Building &amp; Material inputs'!$C$19</f>
        <v>8.622762348555451E-3</v>
      </c>
      <c r="BC42" s="139">
        <f>AA42/'Building &amp; Material inputs'!$C$18/'Building &amp; Material inputs'!$C$19</f>
        <v>0.13354766076421248</v>
      </c>
      <c r="BD42" s="139">
        <f>AB42/'Building &amp; Material inputs'!$C$18/'Building &amp; Material inputs'!$C$19</f>
        <v>1.5016225163094129E-8</v>
      </c>
      <c r="BE42" s="139">
        <f>AC42/'Building &amp; Material inputs'!$C$18/'Building &amp; Material inputs'!$C$19</f>
        <v>5.0474706430568493E-5</v>
      </c>
      <c r="BF42" s="139">
        <f>AD42/'Building &amp; Material inputs'!$C$18/'Building &amp; Material inputs'!$C$19</f>
        <v>8.833073625349488E-6</v>
      </c>
      <c r="BG42" s="139">
        <f>AE42/'Building &amp; Material inputs'!$C$18/'Building &amp; Material inputs'!$C$19</f>
        <v>1.8928014911463183E-6</v>
      </c>
      <c r="BH42" s="139">
        <f>AF42/'Building &amp; Material inputs'!$C$18/'Building &amp; Material inputs'!$C$19</f>
        <v>1.6530466356011179E-9</v>
      </c>
      <c r="BI42" s="170">
        <f>AG42/'Building &amp; Material inputs'!$C$18/'Building &amp; Material inputs'!$C$19</f>
        <v>1.7645116123019572E-8</v>
      </c>
      <c r="BJ42" s="170">
        <f>AH42/'Building &amp; Material inputs'!$C$18/'Building &amp; Material inputs'!$C$19</f>
        <v>2.1031127679403542E-7</v>
      </c>
      <c r="BK42" s="170">
        <f>AI42/'Building &amp; Material inputs'!$C$18/'Building &amp; Material inputs'!$C$19</f>
        <v>6.519649580615098E-13</v>
      </c>
      <c r="BL42" s="170">
        <f>AJ42/'Building &amp; Material inputs'!$C$18/'Building &amp; Material inputs'!$C$19</f>
        <v>7.7604861136999053E-11</v>
      </c>
      <c r="BM42" s="170">
        <f>AK42/'Building &amp; Material inputs'!$C$18/'Building &amp; Material inputs'!$C$19</f>
        <v>3.1757002795899346E-10</v>
      </c>
      <c r="BN42" s="170">
        <f>AL42/'Building &amp; Material inputs'!$C$18/'Building &amp; Material inputs'!$C$19</f>
        <v>1.4995194035414724E-11</v>
      </c>
      <c r="BO42" s="170">
        <f>AM42/'Building &amp; Material inputs'!$C$18/'Building &amp; Material inputs'!$C$19</f>
        <v>1.163021360671016E-15</v>
      </c>
    </row>
    <row r="43" spans="2:67" x14ac:dyDescent="0.25">
      <c r="B43" s="334"/>
      <c r="C43" s="320"/>
      <c r="D43" s="305"/>
      <c r="E43" s="304" t="s">
        <v>88</v>
      </c>
      <c r="F43" s="8" t="s">
        <v>122</v>
      </c>
      <c r="G43" s="17" t="s">
        <v>56</v>
      </c>
      <c r="H43" s="7" t="str">
        <f>'Material quantities'!G44</f>
        <v>GLT</v>
      </c>
      <c r="I43" s="38">
        <f>'Material quantities'!O44</f>
        <v>0</v>
      </c>
      <c r="J43" s="42" t="s">
        <v>14</v>
      </c>
      <c r="K43" s="2"/>
      <c r="L43" s="144">
        <f>VLOOKUP($H43,'Material impact data'!$E$19:$AM$61,6,0)/VLOOKUP($H43,'Material impact data'!$E$19:$AM$61,4,0)*$I43</f>
        <v>0</v>
      </c>
      <c r="M43" s="140">
        <f>VLOOKUP($H43,'Material impact data'!$E$19:$AM$61,'Material impact data'!M$15,0)/VLOOKUP($H43,'Material impact data'!$E$19:$AM$61,4,0)*$I43</f>
        <v>0</v>
      </c>
      <c r="N43" s="140">
        <f>VLOOKUP($H43,'Material impact data'!$E$19:$AM$61,'Material impact data'!N$15,0)/VLOOKUP($H43,'Material impact data'!$E$19:$AM$61,4,0)*$I43</f>
        <v>0</v>
      </c>
      <c r="O43" s="185">
        <f>VLOOKUP($H43,'Material impact data'!$E$19:$AM$61,'Material impact data'!O$15,0)/VLOOKUP($H43,'Material impact data'!$E$19:$AM$61,4,0)*$I43</f>
        <v>0</v>
      </c>
      <c r="P43" s="185">
        <f>VLOOKUP($H43,'Material impact data'!$E$19:$AM$61,'Material impact data'!P$15,0)/VLOOKUP($H43,'Material impact data'!$E$19:$AM$61,4,0)*$I43</f>
        <v>0</v>
      </c>
      <c r="Q43" s="186">
        <f>VLOOKUP($H43,'Material impact data'!$E$19:$AM$61,'Material impact data'!Q$15,0)/VLOOKUP($H43,'Material impact data'!$E$19:$AM$61,4,0)*$I43</f>
        <v>0</v>
      </c>
      <c r="R43" s="186">
        <f>VLOOKUP($H43,'Material impact data'!$E$19:$AM$61,'Material impact data'!R$15,0)/VLOOKUP($H43,'Material impact data'!$E$19:$AM$61,4,0)*$I43</f>
        <v>0</v>
      </c>
      <c r="S43" s="140">
        <f>VLOOKUP($H43,'Material impact data'!$E$19:$AM$61,'Material impact data'!S$15,0)/VLOOKUP($H43,'Material impact data'!$E$19:$AM$61,4,0)*$I43</f>
        <v>0</v>
      </c>
      <c r="T43" s="140">
        <f>VLOOKUP($H43,'Material impact data'!$E$19:$AM$61,'Material impact data'!T$15,0)/VLOOKUP($H43,'Material impact data'!$E$19:$AM$61,4,0)*$I43</f>
        <v>0</v>
      </c>
      <c r="U43" s="140">
        <f>VLOOKUP($H43,'Material impact data'!$E$19:$AM$61,'Material impact data'!U$15,0)/VLOOKUP($H43,'Material impact data'!$E$19:$AM$61,4,0)*$I43</f>
        <v>0</v>
      </c>
      <c r="V43" s="140">
        <f>VLOOKUP($H43,'Material impact data'!$E$19:$AM$61,'Material impact data'!V$15,0)/VLOOKUP($H43,'Material impact data'!$E$19:$AM$61,4,0)*$I43</f>
        <v>0</v>
      </c>
      <c r="W43" s="140">
        <f>VLOOKUP($H43,'Material impact data'!$E$19:$AM$61,'Material impact data'!W$15,0)/VLOOKUP($H43,'Material impact data'!$E$19:$AM$61,4,0)*$I43</f>
        <v>0</v>
      </c>
      <c r="X43" s="140">
        <f>VLOOKUP($H43,'Material impact data'!$E$19:$AM$61,'Material impact data'!X$15,0)/VLOOKUP($H43,'Material impact data'!$E$19:$AM$61,4,0)*$I43</f>
        <v>0</v>
      </c>
      <c r="Y43" s="140">
        <f>VLOOKUP($H43,'Material impact data'!$E$19:$AM$61,'Material impact data'!Y$15,0)/VLOOKUP($H43,'Material impact data'!$E$19:$AM$61,4,0)*$I43</f>
        <v>0</v>
      </c>
      <c r="Z43" s="185">
        <f>VLOOKUP($H43,'Material impact data'!$E$19:$AM$61,'Material impact data'!Z$15,0)/VLOOKUP($H43,'Material impact data'!$E$19:$AM$61,4,0)*$I43</f>
        <v>0</v>
      </c>
      <c r="AA43" s="185">
        <f>VLOOKUP($H43,'Material impact data'!$E$19:$AM$61,'Material impact data'!AA$15,0)/VLOOKUP($H43,'Material impact data'!$E$19:$AM$61,4,0)*$I43</f>
        <v>0</v>
      </c>
      <c r="AB43" s="185">
        <f>VLOOKUP($H43,'Material impact data'!$E$19:$AM$61,'Material impact data'!AB$15,0)/VLOOKUP($H43,'Material impact data'!$E$19:$AM$61,4,0)*$I43</f>
        <v>0</v>
      </c>
      <c r="AC43" s="185">
        <f>VLOOKUP($H43,'Material impact data'!$E$19:$AM$61,'Material impact data'!AC$15,0)/VLOOKUP($H43,'Material impact data'!$E$19:$AM$61,4,0)*$I43</f>
        <v>0</v>
      </c>
      <c r="AD43" s="185">
        <f>VLOOKUP($H43,'Material impact data'!$E$19:$AM$61,'Material impact data'!AD$15,0)/VLOOKUP($H43,'Material impact data'!$E$19:$AM$61,4,0)*$I43</f>
        <v>0</v>
      </c>
      <c r="AE43" s="185">
        <f>VLOOKUP($H43,'Material impact data'!$E$19:$AM$61,'Material impact data'!AE$15,0)/VLOOKUP($H43,'Material impact data'!$E$19:$AM$61,4,0)*$I43</f>
        <v>0</v>
      </c>
      <c r="AF43" s="185">
        <f>VLOOKUP($H43,'Material impact data'!$E$19:$AM$61,'Material impact data'!AF$15,0)/VLOOKUP($H43,'Material impact data'!$E$19:$AM$61,4,0)*$I43</f>
        <v>0</v>
      </c>
      <c r="AG43" s="186">
        <f>VLOOKUP($H43,'Material impact data'!$E$19:$AM$61,'Material impact data'!AG$15,0)/VLOOKUP($H43,'Material impact data'!$E$19:$AM$61,4,0)*$I43</f>
        <v>0</v>
      </c>
      <c r="AH43" s="186">
        <f>VLOOKUP($H43,'Material impact data'!$E$19:$AM$61,'Material impact data'!AH$15,0)/VLOOKUP($H43,'Material impact data'!$E$19:$AM$61,4,0)*$I43</f>
        <v>0</v>
      </c>
      <c r="AI43" s="186">
        <f>VLOOKUP($H43,'Material impact data'!$E$19:$AM$61,'Material impact data'!AI$15,0)/VLOOKUP($H43,'Material impact data'!$E$19:$AM$61,4,0)*$I43</f>
        <v>0</v>
      </c>
      <c r="AJ43" s="186">
        <f>VLOOKUP($H43,'Material impact data'!$E$19:$AM$61,'Material impact data'!AJ$15,0)/VLOOKUP($H43,'Material impact data'!$E$19:$AM$61,4,0)*$I43</f>
        <v>0</v>
      </c>
      <c r="AK43" s="186">
        <f>VLOOKUP($H43,'Material impact data'!$E$19:$AM$61,'Material impact data'!AK$15,0)/VLOOKUP($H43,'Material impact data'!$E$19:$AM$61,4,0)*$I43</f>
        <v>0</v>
      </c>
      <c r="AL43" s="186">
        <f>VLOOKUP($H43,'Material impact data'!$E$19:$AM$61,'Material impact data'!AL$15,0)/VLOOKUP($H43,'Material impact data'!$E$19:$AM$61,4,0)*$I43</f>
        <v>0</v>
      </c>
      <c r="AM43" s="186">
        <f>VLOOKUP($H43,'Material impact data'!$E$19:$AM$61,'Material impact data'!AM$15,0)/VLOOKUP($H43,'Material impact data'!$E$19:$AM$61,4,0)*$I43</f>
        <v>0</v>
      </c>
      <c r="AO43" s="187">
        <f>M43/'Building &amp; Material inputs'!$C$18/'Building &amp; Material inputs'!$C$19</f>
        <v>0</v>
      </c>
      <c r="AP43" s="187">
        <f>N43/'Building &amp; Material inputs'!$C$18/'Building &amp; Material inputs'!$C$19</f>
        <v>0</v>
      </c>
      <c r="AQ43" s="139">
        <f>O43/'Building &amp; Material inputs'!$C$18/'Building &amp; Material inputs'!$C$19</f>
        <v>0</v>
      </c>
      <c r="AR43" s="139">
        <f>P43/'Building &amp; Material inputs'!$C$18/'Building &amp; Material inputs'!$C$19</f>
        <v>0</v>
      </c>
      <c r="AS43" s="170">
        <f>Q43/'Building &amp; Material inputs'!$C$18/'Building &amp; Material inputs'!$C$19</f>
        <v>0</v>
      </c>
      <c r="AT43" s="170">
        <f>R43/'Building &amp; Material inputs'!$C$18/'Building &amp; Material inputs'!$C$19</f>
        <v>0</v>
      </c>
      <c r="AU43" s="187">
        <f>S43/'Building &amp; Material inputs'!$C$18/'Building &amp; Material inputs'!$C$19</f>
        <v>0</v>
      </c>
      <c r="AV43" s="187">
        <f>T43/'Building &amp; Material inputs'!$C$18/'Building &amp; Material inputs'!$C$19</f>
        <v>0</v>
      </c>
      <c r="AW43" s="187">
        <f>U43/'Building &amp; Material inputs'!$C$18/'Building &amp; Material inputs'!$C$19</f>
        <v>0</v>
      </c>
      <c r="AX43" s="187">
        <f>V43/'Building &amp; Material inputs'!$C$18/'Building &amp; Material inputs'!$C$19</f>
        <v>0</v>
      </c>
      <c r="AY43" s="187">
        <f>W43/'Building &amp; Material inputs'!$C$18/'Building &amp; Material inputs'!$C$19</f>
        <v>0</v>
      </c>
      <c r="AZ43" s="187">
        <f>X43/'Building &amp; Material inputs'!$C$18/'Building &amp; Material inputs'!$C$19</f>
        <v>0</v>
      </c>
      <c r="BA43" s="187">
        <f>Y43/'Building &amp; Material inputs'!$C$18/'Building &amp; Material inputs'!$C$19</f>
        <v>0</v>
      </c>
      <c r="BB43" s="139">
        <f>Z43/'Building &amp; Material inputs'!$C$18/'Building &amp; Material inputs'!$C$19</f>
        <v>0</v>
      </c>
      <c r="BC43" s="139">
        <f>AA43/'Building &amp; Material inputs'!$C$18/'Building &amp; Material inputs'!$C$19</f>
        <v>0</v>
      </c>
      <c r="BD43" s="139">
        <f>AB43/'Building &amp; Material inputs'!$C$18/'Building &amp; Material inputs'!$C$19</f>
        <v>0</v>
      </c>
      <c r="BE43" s="139">
        <f>AC43/'Building &amp; Material inputs'!$C$18/'Building &amp; Material inputs'!$C$19</f>
        <v>0</v>
      </c>
      <c r="BF43" s="139">
        <f>AD43/'Building &amp; Material inputs'!$C$18/'Building &amp; Material inputs'!$C$19</f>
        <v>0</v>
      </c>
      <c r="BG43" s="139">
        <f>AE43/'Building &amp; Material inputs'!$C$18/'Building &amp; Material inputs'!$C$19</f>
        <v>0</v>
      </c>
      <c r="BH43" s="139">
        <f>AF43/'Building &amp; Material inputs'!$C$18/'Building &amp; Material inputs'!$C$19</f>
        <v>0</v>
      </c>
      <c r="BI43" s="170">
        <f>AG43/'Building &amp; Material inputs'!$C$18/'Building &amp; Material inputs'!$C$19</f>
        <v>0</v>
      </c>
      <c r="BJ43" s="170">
        <f>AH43/'Building &amp; Material inputs'!$C$18/'Building &amp; Material inputs'!$C$19</f>
        <v>0</v>
      </c>
      <c r="BK43" s="170">
        <f>AI43/'Building &amp; Material inputs'!$C$18/'Building &amp; Material inputs'!$C$19</f>
        <v>0</v>
      </c>
      <c r="BL43" s="170">
        <f>AJ43/'Building &amp; Material inputs'!$C$18/'Building &amp; Material inputs'!$C$19</f>
        <v>0</v>
      </c>
      <c r="BM43" s="170">
        <f>AK43/'Building &amp; Material inputs'!$C$18/'Building &amp; Material inputs'!$C$19</f>
        <v>0</v>
      </c>
      <c r="BN43" s="170">
        <f>AL43/'Building &amp; Material inputs'!$C$18/'Building &amp; Material inputs'!$C$19</f>
        <v>0</v>
      </c>
      <c r="BO43" s="170">
        <f>AM43/'Building &amp; Material inputs'!$C$18/'Building &amp; Material inputs'!$C$19</f>
        <v>0</v>
      </c>
    </row>
    <row r="44" spans="2:67" x14ac:dyDescent="0.25">
      <c r="B44" s="334"/>
      <c r="C44" s="320"/>
      <c r="D44" s="305"/>
      <c r="E44" s="305"/>
      <c r="F44" s="8" t="s">
        <v>123</v>
      </c>
      <c r="G44" s="94" t="s">
        <v>605</v>
      </c>
      <c r="H44" s="7" t="str">
        <f>'Material quantities'!G45</f>
        <v>ST-G</v>
      </c>
      <c r="I44" s="38">
        <f>'Material quantities'!O45</f>
        <v>0</v>
      </c>
      <c r="J44" s="93" t="s">
        <v>15</v>
      </c>
      <c r="K44" s="2"/>
      <c r="L44" s="144">
        <f>VLOOKUP($H44,'Material impact data'!$E$19:$AM$61,6,0)/VLOOKUP($H44,'Material impact data'!$E$19:$AM$61,4,0)*$I44</f>
        <v>0</v>
      </c>
      <c r="M44" s="140">
        <f>VLOOKUP($H44,'Material impact data'!$E$19:$AM$61,'Material impact data'!M$15,0)/VLOOKUP($H44,'Material impact data'!$E$19:$AM$61,4,0)*$I44</f>
        <v>0</v>
      </c>
      <c r="N44" s="140">
        <f>VLOOKUP($H44,'Material impact data'!$E$19:$AM$61,'Material impact data'!N$15,0)/VLOOKUP($H44,'Material impact data'!$E$19:$AM$61,4,0)*$I44</f>
        <v>0</v>
      </c>
      <c r="O44" s="185">
        <f>VLOOKUP($H44,'Material impact data'!$E$19:$AM$61,'Material impact data'!O$15,0)/VLOOKUP($H44,'Material impact data'!$E$19:$AM$61,4,0)*$I44</f>
        <v>0</v>
      </c>
      <c r="P44" s="185">
        <f>VLOOKUP($H44,'Material impact data'!$E$19:$AM$61,'Material impact data'!P$15,0)/VLOOKUP($H44,'Material impact data'!$E$19:$AM$61,4,0)*$I44</f>
        <v>0</v>
      </c>
      <c r="Q44" s="186">
        <f>VLOOKUP($H44,'Material impact data'!$E$19:$AM$61,'Material impact data'!Q$15,0)/VLOOKUP($H44,'Material impact data'!$E$19:$AM$61,4,0)*$I44</f>
        <v>0</v>
      </c>
      <c r="R44" s="186">
        <f>VLOOKUP($H44,'Material impact data'!$E$19:$AM$61,'Material impact data'!R$15,0)/VLOOKUP($H44,'Material impact data'!$E$19:$AM$61,4,0)*$I44</f>
        <v>0</v>
      </c>
      <c r="S44" s="140">
        <f>VLOOKUP($H44,'Material impact data'!$E$19:$AM$61,'Material impact data'!S$15,0)/VLOOKUP($H44,'Material impact data'!$E$19:$AM$61,4,0)*$I44</f>
        <v>0</v>
      </c>
      <c r="T44" s="140">
        <f>VLOOKUP($H44,'Material impact data'!$E$19:$AM$61,'Material impact data'!T$15,0)/VLOOKUP($H44,'Material impact data'!$E$19:$AM$61,4,0)*$I44</f>
        <v>0</v>
      </c>
      <c r="U44" s="140">
        <f>VLOOKUP($H44,'Material impact data'!$E$19:$AM$61,'Material impact data'!U$15,0)/VLOOKUP($H44,'Material impact data'!$E$19:$AM$61,4,0)*$I44</f>
        <v>0</v>
      </c>
      <c r="V44" s="140">
        <f>VLOOKUP($H44,'Material impact data'!$E$19:$AM$61,'Material impact data'!V$15,0)/VLOOKUP($H44,'Material impact data'!$E$19:$AM$61,4,0)*$I44</f>
        <v>0</v>
      </c>
      <c r="W44" s="140">
        <f>VLOOKUP($H44,'Material impact data'!$E$19:$AM$61,'Material impact data'!W$15,0)/VLOOKUP($H44,'Material impact data'!$E$19:$AM$61,4,0)*$I44</f>
        <v>0</v>
      </c>
      <c r="X44" s="140">
        <f>VLOOKUP($H44,'Material impact data'!$E$19:$AM$61,'Material impact data'!X$15,0)/VLOOKUP($H44,'Material impact data'!$E$19:$AM$61,4,0)*$I44</f>
        <v>0</v>
      </c>
      <c r="Y44" s="140">
        <f>VLOOKUP($H44,'Material impact data'!$E$19:$AM$61,'Material impact data'!Y$15,0)/VLOOKUP($H44,'Material impact data'!$E$19:$AM$61,4,0)*$I44</f>
        <v>0</v>
      </c>
      <c r="Z44" s="185">
        <f>VLOOKUP($H44,'Material impact data'!$E$19:$AM$61,'Material impact data'!Z$15,0)/VLOOKUP($H44,'Material impact data'!$E$19:$AM$61,4,0)*$I44</f>
        <v>0</v>
      </c>
      <c r="AA44" s="185">
        <f>VLOOKUP($H44,'Material impact data'!$E$19:$AM$61,'Material impact data'!AA$15,0)/VLOOKUP($H44,'Material impact data'!$E$19:$AM$61,4,0)*$I44</f>
        <v>0</v>
      </c>
      <c r="AB44" s="185">
        <f>VLOOKUP($H44,'Material impact data'!$E$19:$AM$61,'Material impact data'!AB$15,0)/VLOOKUP($H44,'Material impact data'!$E$19:$AM$61,4,0)*$I44</f>
        <v>0</v>
      </c>
      <c r="AC44" s="185">
        <f>VLOOKUP($H44,'Material impact data'!$E$19:$AM$61,'Material impact data'!AC$15,0)/VLOOKUP($H44,'Material impact data'!$E$19:$AM$61,4,0)*$I44</f>
        <v>0</v>
      </c>
      <c r="AD44" s="185">
        <f>VLOOKUP($H44,'Material impact data'!$E$19:$AM$61,'Material impact data'!AD$15,0)/VLOOKUP($H44,'Material impact data'!$E$19:$AM$61,4,0)*$I44</f>
        <v>0</v>
      </c>
      <c r="AE44" s="185">
        <f>VLOOKUP($H44,'Material impact data'!$E$19:$AM$61,'Material impact data'!AE$15,0)/VLOOKUP($H44,'Material impact data'!$E$19:$AM$61,4,0)*$I44</f>
        <v>0</v>
      </c>
      <c r="AF44" s="185">
        <f>VLOOKUP($H44,'Material impact data'!$E$19:$AM$61,'Material impact data'!AF$15,0)/VLOOKUP($H44,'Material impact data'!$E$19:$AM$61,4,0)*$I44</f>
        <v>0</v>
      </c>
      <c r="AG44" s="186">
        <f>VLOOKUP($H44,'Material impact data'!$E$19:$AM$61,'Material impact data'!AG$15,0)/VLOOKUP($H44,'Material impact data'!$E$19:$AM$61,4,0)*$I44</f>
        <v>0</v>
      </c>
      <c r="AH44" s="186">
        <f>VLOOKUP($H44,'Material impact data'!$E$19:$AM$61,'Material impact data'!AH$15,0)/VLOOKUP($H44,'Material impact data'!$E$19:$AM$61,4,0)*$I44</f>
        <v>0</v>
      </c>
      <c r="AI44" s="186">
        <f>VLOOKUP($H44,'Material impact data'!$E$19:$AM$61,'Material impact data'!AI$15,0)/VLOOKUP($H44,'Material impact data'!$E$19:$AM$61,4,0)*$I44</f>
        <v>0</v>
      </c>
      <c r="AJ44" s="186">
        <f>VLOOKUP($H44,'Material impact data'!$E$19:$AM$61,'Material impact data'!AJ$15,0)/VLOOKUP($H44,'Material impact data'!$E$19:$AM$61,4,0)*$I44</f>
        <v>0</v>
      </c>
      <c r="AK44" s="186">
        <f>VLOOKUP($H44,'Material impact data'!$E$19:$AM$61,'Material impact data'!AK$15,0)/VLOOKUP($H44,'Material impact data'!$E$19:$AM$61,4,0)*$I44</f>
        <v>0</v>
      </c>
      <c r="AL44" s="186">
        <f>VLOOKUP($H44,'Material impact data'!$E$19:$AM$61,'Material impact data'!AL$15,0)/VLOOKUP($H44,'Material impact data'!$E$19:$AM$61,4,0)*$I44</f>
        <v>0</v>
      </c>
      <c r="AM44" s="186">
        <f>VLOOKUP($H44,'Material impact data'!$E$19:$AM$61,'Material impact data'!AM$15,0)/VLOOKUP($H44,'Material impact data'!$E$19:$AM$61,4,0)*$I44</f>
        <v>0</v>
      </c>
      <c r="AO44" s="187">
        <f>M44/'Building &amp; Material inputs'!$C$18/'Building &amp; Material inputs'!$C$19</f>
        <v>0</v>
      </c>
      <c r="AP44" s="187">
        <f>N44/'Building &amp; Material inputs'!$C$18/'Building &amp; Material inputs'!$C$19</f>
        <v>0</v>
      </c>
      <c r="AQ44" s="139">
        <f>O44/'Building &amp; Material inputs'!$C$18/'Building &amp; Material inputs'!$C$19</f>
        <v>0</v>
      </c>
      <c r="AR44" s="139">
        <f>P44/'Building &amp; Material inputs'!$C$18/'Building &amp; Material inputs'!$C$19</f>
        <v>0</v>
      </c>
      <c r="AS44" s="170">
        <f>Q44/'Building &amp; Material inputs'!$C$18/'Building &amp; Material inputs'!$C$19</f>
        <v>0</v>
      </c>
      <c r="AT44" s="170">
        <f>R44/'Building &amp; Material inputs'!$C$18/'Building &amp; Material inputs'!$C$19</f>
        <v>0</v>
      </c>
      <c r="AU44" s="187">
        <f>S44/'Building &amp; Material inputs'!$C$18/'Building &amp; Material inputs'!$C$19</f>
        <v>0</v>
      </c>
      <c r="AV44" s="187">
        <f>T44/'Building &amp; Material inputs'!$C$18/'Building &amp; Material inputs'!$C$19</f>
        <v>0</v>
      </c>
      <c r="AW44" s="187">
        <f>U44/'Building &amp; Material inputs'!$C$18/'Building &amp; Material inputs'!$C$19</f>
        <v>0</v>
      </c>
      <c r="AX44" s="187">
        <f>V44/'Building &amp; Material inputs'!$C$18/'Building &amp; Material inputs'!$C$19</f>
        <v>0</v>
      </c>
      <c r="AY44" s="187">
        <f>W44/'Building &amp; Material inputs'!$C$18/'Building &amp; Material inputs'!$C$19</f>
        <v>0</v>
      </c>
      <c r="AZ44" s="187">
        <f>X44/'Building &amp; Material inputs'!$C$18/'Building &amp; Material inputs'!$C$19</f>
        <v>0</v>
      </c>
      <c r="BA44" s="187">
        <f>Y44/'Building &amp; Material inputs'!$C$18/'Building &amp; Material inputs'!$C$19</f>
        <v>0</v>
      </c>
      <c r="BB44" s="139">
        <f>Z44/'Building &amp; Material inputs'!$C$18/'Building &amp; Material inputs'!$C$19</f>
        <v>0</v>
      </c>
      <c r="BC44" s="139">
        <f>AA44/'Building &amp; Material inputs'!$C$18/'Building &amp; Material inputs'!$C$19</f>
        <v>0</v>
      </c>
      <c r="BD44" s="139">
        <f>AB44/'Building &amp; Material inputs'!$C$18/'Building &amp; Material inputs'!$C$19</f>
        <v>0</v>
      </c>
      <c r="BE44" s="139">
        <f>AC44/'Building &amp; Material inputs'!$C$18/'Building &amp; Material inputs'!$C$19</f>
        <v>0</v>
      </c>
      <c r="BF44" s="139">
        <f>AD44/'Building &amp; Material inputs'!$C$18/'Building &amp; Material inputs'!$C$19</f>
        <v>0</v>
      </c>
      <c r="BG44" s="139">
        <f>AE44/'Building &amp; Material inputs'!$C$18/'Building &amp; Material inputs'!$C$19</f>
        <v>0</v>
      </c>
      <c r="BH44" s="139">
        <f>AF44/'Building &amp; Material inputs'!$C$18/'Building &amp; Material inputs'!$C$19</f>
        <v>0</v>
      </c>
      <c r="BI44" s="170">
        <f>AG44/'Building &amp; Material inputs'!$C$18/'Building &amp; Material inputs'!$C$19</f>
        <v>0</v>
      </c>
      <c r="BJ44" s="170">
        <f>AH44/'Building &amp; Material inputs'!$C$18/'Building &amp; Material inputs'!$C$19</f>
        <v>0</v>
      </c>
      <c r="BK44" s="170">
        <f>AI44/'Building &amp; Material inputs'!$C$18/'Building &amp; Material inputs'!$C$19</f>
        <v>0</v>
      </c>
      <c r="BL44" s="170">
        <f>AJ44/'Building &amp; Material inputs'!$C$18/'Building &amp; Material inputs'!$C$19</f>
        <v>0</v>
      </c>
      <c r="BM44" s="170">
        <f>AK44/'Building &amp; Material inputs'!$C$18/'Building &amp; Material inputs'!$C$19</f>
        <v>0</v>
      </c>
      <c r="BN44" s="170">
        <f>AL44/'Building &amp; Material inputs'!$C$18/'Building &amp; Material inputs'!$C$19</f>
        <v>0</v>
      </c>
      <c r="BO44" s="170">
        <f>AM44/'Building &amp; Material inputs'!$C$18/'Building &amp; Material inputs'!$C$19</f>
        <v>0</v>
      </c>
    </row>
    <row r="45" spans="2:67" x14ac:dyDescent="0.25">
      <c r="B45" s="334"/>
      <c r="C45" s="320"/>
      <c r="D45" s="305"/>
      <c r="E45" s="305"/>
      <c r="F45" s="8" t="s">
        <v>124</v>
      </c>
      <c r="G45" s="7" t="s">
        <v>21</v>
      </c>
      <c r="H45" s="7" t="str">
        <f>'Material quantities'!G46</f>
        <v>ST</v>
      </c>
      <c r="I45" s="38">
        <f>'Material quantities'!O46</f>
        <v>0</v>
      </c>
      <c r="J45" s="42" t="s">
        <v>15</v>
      </c>
      <c r="K45" s="2"/>
      <c r="L45" s="144">
        <f>VLOOKUP($H45,'Material impact data'!$E$19:$AM$61,6,0)/VLOOKUP($H45,'Material impact data'!$E$19:$AM$61,4,0)*$I45</f>
        <v>0</v>
      </c>
      <c r="M45" s="140">
        <f>VLOOKUP($H45,'Material impact data'!$E$19:$AM$61,'Material impact data'!M$15,0)/VLOOKUP($H45,'Material impact data'!$E$19:$AM$61,4,0)*$I45</f>
        <v>0</v>
      </c>
      <c r="N45" s="140">
        <f>VLOOKUP($H45,'Material impact data'!$E$19:$AM$61,'Material impact data'!N$15,0)/VLOOKUP($H45,'Material impact data'!$E$19:$AM$61,4,0)*$I45</f>
        <v>0</v>
      </c>
      <c r="O45" s="185">
        <f>VLOOKUP($H45,'Material impact data'!$E$19:$AM$61,'Material impact data'!O$15,0)/VLOOKUP($H45,'Material impact data'!$E$19:$AM$61,4,0)*$I45</f>
        <v>0</v>
      </c>
      <c r="P45" s="185">
        <f>VLOOKUP($H45,'Material impact data'!$E$19:$AM$61,'Material impact data'!P$15,0)/VLOOKUP($H45,'Material impact data'!$E$19:$AM$61,4,0)*$I45</f>
        <v>0</v>
      </c>
      <c r="Q45" s="186">
        <f>VLOOKUP($H45,'Material impact data'!$E$19:$AM$61,'Material impact data'!Q$15,0)/VLOOKUP($H45,'Material impact data'!$E$19:$AM$61,4,0)*$I45</f>
        <v>0</v>
      </c>
      <c r="R45" s="186">
        <f>VLOOKUP($H45,'Material impact data'!$E$19:$AM$61,'Material impact data'!R$15,0)/VLOOKUP($H45,'Material impact data'!$E$19:$AM$61,4,0)*$I45</f>
        <v>0</v>
      </c>
      <c r="S45" s="140">
        <f>VLOOKUP($H45,'Material impact data'!$E$19:$AM$61,'Material impact data'!S$15,0)/VLOOKUP($H45,'Material impact data'!$E$19:$AM$61,4,0)*$I45</f>
        <v>0</v>
      </c>
      <c r="T45" s="140">
        <f>VLOOKUP($H45,'Material impact data'!$E$19:$AM$61,'Material impact data'!T$15,0)/VLOOKUP($H45,'Material impact data'!$E$19:$AM$61,4,0)*$I45</f>
        <v>0</v>
      </c>
      <c r="U45" s="140">
        <f>VLOOKUP($H45,'Material impact data'!$E$19:$AM$61,'Material impact data'!U$15,0)/VLOOKUP($H45,'Material impact data'!$E$19:$AM$61,4,0)*$I45</f>
        <v>0</v>
      </c>
      <c r="V45" s="140">
        <f>VLOOKUP($H45,'Material impact data'!$E$19:$AM$61,'Material impact data'!V$15,0)/VLOOKUP($H45,'Material impact data'!$E$19:$AM$61,4,0)*$I45</f>
        <v>0</v>
      </c>
      <c r="W45" s="140">
        <f>VLOOKUP($H45,'Material impact data'!$E$19:$AM$61,'Material impact data'!W$15,0)/VLOOKUP($H45,'Material impact data'!$E$19:$AM$61,4,0)*$I45</f>
        <v>0</v>
      </c>
      <c r="X45" s="140">
        <f>VLOOKUP($H45,'Material impact data'!$E$19:$AM$61,'Material impact data'!X$15,0)/VLOOKUP($H45,'Material impact data'!$E$19:$AM$61,4,0)*$I45</f>
        <v>0</v>
      </c>
      <c r="Y45" s="140">
        <f>VLOOKUP($H45,'Material impact data'!$E$19:$AM$61,'Material impact data'!Y$15,0)/VLOOKUP($H45,'Material impact data'!$E$19:$AM$61,4,0)*$I45</f>
        <v>0</v>
      </c>
      <c r="Z45" s="185">
        <f>VLOOKUP($H45,'Material impact data'!$E$19:$AM$61,'Material impact data'!Z$15,0)/VLOOKUP($H45,'Material impact data'!$E$19:$AM$61,4,0)*$I45</f>
        <v>0</v>
      </c>
      <c r="AA45" s="185">
        <f>VLOOKUP($H45,'Material impact data'!$E$19:$AM$61,'Material impact data'!AA$15,0)/VLOOKUP($H45,'Material impact data'!$E$19:$AM$61,4,0)*$I45</f>
        <v>0</v>
      </c>
      <c r="AB45" s="185">
        <f>VLOOKUP($H45,'Material impact data'!$E$19:$AM$61,'Material impact data'!AB$15,0)/VLOOKUP($H45,'Material impact data'!$E$19:$AM$61,4,0)*$I45</f>
        <v>0</v>
      </c>
      <c r="AC45" s="185">
        <f>VLOOKUP($H45,'Material impact data'!$E$19:$AM$61,'Material impact data'!AC$15,0)/VLOOKUP($H45,'Material impact data'!$E$19:$AM$61,4,0)*$I45</f>
        <v>0</v>
      </c>
      <c r="AD45" s="185">
        <f>VLOOKUP($H45,'Material impact data'!$E$19:$AM$61,'Material impact data'!AD$15,0)/VLOOKUP($H45,'Material impact data'!$E$19:$AM$61,4,0)*$I45</f>
        <v>0</v>
      </c>
      <c r="AE45" s="185">
        <f>VLOOKUP($H45,'Material impact data'!$E$19:$AM$61,'Material impact data'!AE$15,0)/VLOOKUP($H45,'Material impact data'!$E$19:$AM$61,4,0)*$I45</f>
        <v>0</v>
      </c>
      <c r="AF45" s="185">
        <f>VLOOKUP($H45,'Material impact data'!$E$19:$AM$61,'Material impact data'!AF$15,0)/VLOOKUP($H45,'Material impact data'!$E$19:$AM$61,4,0)*$I45</f>
        <v>0</v>
      </c>
      <c r="AG45" s="186">
        <f>VLOOKUP($H45,'Material impact data'!$E$19:$AM$61,'Material impact data'!AG$15,0)/VLOOKUP($H45,'Material impact data'!$E$19:$AM$61,4,0)*$I45</f>
        <v>0</v>
      </c>
      <c r="AH45" s="186">
        <f>VLOOKUP($H45,'Material impact data'!$E$19:$AM$61,'Material impact data'!AH$15,0)/VLOOKUP($H45,'Material impact data'!$E$19:$AM$61,4,0)*$I45</f>
        <v>0</v>
      </c>
      <c r="AI45" s="186">
        <f>VLOOKUP($H45,'Material impact data'!$E$19:$AM$61,'Material impact data'!AI$15,0)/VLOOKUP($H45,'Material impact data'!$E$19:$AM$61,4,0)*$I45</f>
        <v>0</v>
      </c>
      <c r="AJ45" s="186">
        <f>VLOOKUP($H45,'Material impact data'!$E$19:$AM$61,'Material impact data'!AJ$15,0)/VLOOKUP($H45,'Material impact data'!$E$19:$AM$61,4,0)*$I45</f>
        <v>0</v>
      </c>
      <c r="AK45" s="186">
        <f>VLOOKUP($H45,'Material impact data'!$E$19:$AM$61,'Material impact data'!AK$15,0)/VLOOKUP($H45,'Material impact data'!$E$19:$AM$61,4,0)*$I45</f>
        <v>0</v>
      </c>
      <c r="AL45" s="186">
        <f>VLOOKUP($H45,'Material impact data'!$E$19:$AM$61,'Material impact data'!AL$15,0)/VLOOKUP($H45,'Material impact data'!$E$19:$AM$61,4,0)*$I45</f>
        <v>0</v>
      </c>
      <c r="AM45" s="186">
        <f>VLOOKUP($H45,'Material impact data'!$E$19:$AM$61,'Material impact data'!AM$15,0)/VLOOKUP($H45,'Material impact data'!$E$19:$AM$61,4,0)*$I45</f>
        <v>0</v>
      </c>
      <c r="AO45" s="187">
        <f>M45/'Building &amp; Material inputs'!$C$18/'Building &amp; Material inputs'!$C$19</f>
        <v>0</v>
      </c>
      <c r="AP45" s="187">
        <f>N45/'Building &amp; Material inputs'!$C$18/'Building &amp; Material inputs'!$C$19</f>
        <v>0</v>
      </c>
      <c r="AQ45" s="139">
        <f>O45/'Building &amp; Material inputs'!$C$18/'Building &amp; Material inputs'!$C$19</f>
        <v>0</v>
      </c>
      <c r="AR45" s="139">
        <f>P45/'Building &amp; Material inputs'!$C$18/'Building &amp; Material inputs'!$C$19</f>
        <v>0</v>
      </c>
      <c r="AS45" s="170">
        <f>Q45/'Building &amp; Material inputs'!$C$18/'Building &amp; Material inputs'!$C$19</f>
        <v>0</v>
      </c>
      <c r="AT45" s="170">
        <f>R45/'Building &amp; Material inputs'!$C$18/'Building &amp; Material inputs'!$C$19</f>
        <v>0</v>
      </c>
      <c r="AU45" s="187">
        <f>S45/'Building &amp; Material inputs'!$C$18/'Building &amp; Material inputs'!$C$19</f>
        <v>0</v>
      </c>
      <c r="AV45" s="187">
        <f>T45/'Building &amp; Material inputs'!$C$18/'Building &amp; Material inputs'!$C$19</f>
        <v>0</v>
      </c>
      <c r="AW45" s="187">
        <f>U45/'Building &amp; Material inputs'!$C$18/'Building &amp; Material inputs'!$C$19</f>
        <v>0</v>
      </c>
      <c r="AX45" s="187">
        <f>V45/'Building &amp; Material inputs'!$C$18/'Building &amp; Material inputs'!$C$19</f>
        <v>0</v>
      </c>
      <c r="AY45" s="187">
        <f>W45/'Building &amp; Material inputs'!$C$18/'Building &amp; Material inputs'!$C$19</f>
        <v>0</v>
      </c>
      <c r="AZ45" s="187">
        <f>X45/'Building &amp; Material inputs'!$C$18/'Building &amp; Material inputs'!$C$19</f>
        <v>0</v>
      </c>
      <c r="BA45" s="187">
        <f>Y45/'Building &amp; Material inputs'!$C$18/'Building &amp; Material inputs'!$C$19</f>
        <v>0</v>
      </c>
      <c r="BB45" s="139">
        <f>Z45/'Building &amp; Material inputs'!$C$18/'Building &amp; Material inputs'!$C$19</f>
        <v>0</v>
      </c>
      <c r="BC45" s="139">
        <f>AA45/'Building &amp; Material inputs'!$C$18/'Building &amp; Material inputs'!$C$19</f>
        <v>0</v>
      </c>
      <c r="BD45" s="139">
        <f>AB45/'Building &amp; Material inputs'!$C$18/'Building &amp; Material inputs'!$C$19</f>
        <v>0</v>
      </c>
      <c r="BE45" s="139">
        <f>AC45/'Building &amp; Material inputs'!$C$18/'Building &amp; Material inputs'!$C$19</f>
        <v>0</v>
      </c>
      <c r="BF45" s="139">
        <f>AD45/'Building &amp; Material inputs'!$C$18/'Building &amp; Material inputs'!$C$19</f>
        <v>0</v>
      </c>
      <c r="BG45" s="139">
        <f>AE45/'Building &amp; Material inputs'!$C$18/'Building &amp; Material inputs'!$C$19</f>
        <v>0</v>
      </c>
      <c r="BH45" s="139">
        <f>AF45/'Building &amp; Material inputs'!$C$18/'Building &amp; Material inputs'!$C$19</f>
        <v>0</v>
      </c>
      <c r="BI45" s="170">
        <f>AG45/'Building &amp; Material inputs'!$C$18/'Building &amp; Material inputs'!$C$19</f>
        <v>0</v>
      </c>
      <c r="BJ45" s="170">
        <f>AH45/'Building &amp; Material inputs'!$C$18/'Building &amp; Material inputs'!$C$19</f>
        <v>0</v>
      </c>
      <c r="BK45" s="170">
        <f>AI45/'Building &amp; Material inputs'!$C$18/'Building &amp; Material inputs'!$C$19</f>
        <v>0</v>
      </c>
      <c r="BL45" s="170">
        <f>AJ45/'Building &amp; Material inputs'!$C$18/'Building &amp; Material inputs'!$C$19</f>
        <v>0</v>
      </c>
      <c r="BM45" s="170">
        <f>AK45/'Building &amp; Material inputs'!$C$18/'Building &amp; Material inputs'!$C$19</f>
        <v>0</v>
      </c>
      <c r="BN45" s="170">
        <f>AL45/'Building &amp; Material inputs'!$C$18/'Building &amp; Material inputs'!$C$19</f>
        <v>0</v>
      </c>
      <c r="BO45" s="170">
        <f>AM45/'Building &amp; Material inputs'!$C$18/'Building &amp; Material inputs'!$C$19</f>
        <v>0</v>
      </c>
    </row>
    <row r="46" spans="2:67" x14ac:dyDescent="0.25">
      <c r="B46" s="334"/>
      <c r="C46" s="320"/>
      <c r="D46" s="305"/>
      <c r="E46" s="305"/>
      <c r="F46" s="8" t="s">
        <v>125</v>
      </c>
      <c r="G46" s="7" t="s">
        <v>19</v>
      </c>
      <c r="H46" s="7" t="str">
        <f>'Material quantities'!G47</f>
        <v>CON3</v>
      </c>
      <c r="I46" s="38">
        <f>'Material quantities'!O47</f>
        <v>10.89</v>
      </c>
      <c r="J46" s="42" t="s">
        <v>14</v>
      </c>
      <c r="K46" s="2"/>
      <c r="L46" s="144">
        <f>VLOOKUP($H46,'Material impact data'!$E$19:$AM$61,6,0)/VLOOKUP($H46,'Material impact data'!$E$19:$AM$61,4,0)*$I46</f>
        <v>4443.12</v>
      </c>
      <c r="M46" s="140">
        <f>VLOOKUP($H46,'Material impact data'!$E$19:$AM$61,'Material impact data'!M$15,0)/VLOOKUP($H46,'Material impact data'!$E$19:$AM$61,4,0)*$I46</f>
        <v>2069.1</v>
      </c>
      <c r="N46" s="140">
        <f>VLOOKUP($H46,'Material impact data'!$E$19:$AM$61,'Material impact data'!N$15,0)/VLOOKUP($H46,'Material impact data'!$E$19:$AM$61,4,0)*$I46</f>
        <v>15246</v>
      </c>
      <c r="O46" s="185">
        <f>VLOOKUP($H46,'Material impact data'!$E$19:$AM$61,'Material impact data'!O$15,0)/VLOOKUP($H46,'Material impact data'!$E$19:$AM$61,4,0)*$I46</f>
        <v>37.2438</v>
      </c>
      <c r="P46" s="185">
        <f>VLOOKUP($H46,'Material impact data'!$E$19:$AM$61,'Material impact data'!P$15,0)/VLOOKUP($H46,'Material impact data'!$E$19:$AM$61,4,0)*$I46</f>
        <v>642.51</v>
      </c>
      <c r="Q46" s="186">
        <f>VLOOKUP($H46,'Material impact data'!$E$19:$AM$61,'Material impact data'!Q$15,0)/VLOOKUP($H46,'Material impact data'!$E$19:$AM$61,4,0)*$I46</f>
        <v>0</v>
      </c>
      <c r="R46" s="186">
        <f>VLOOKUP($H46,'Material impact data'!$E$19:$AM$61,'Material impact data'!R$15,0)/VLOOKUP($H46,'Material impact data'!$E$19:$AM$61,4,0)*$I46</f>
        <v>17.641800000000003</v>
      </c>
      <c r="S46" s="140">
        <f>VLOOKUP($H46,'Material impact data'!$E$19:$AM$61,'Material impact data'!S$15,0)/VLOOKUP($H46,'Material impact data'!$E$19:$AM$61,4,0)*$I46</f>
        <v>3070.98</v>
      </c>
      <c r="T46" s="140">
        <f>VLOOKUP($H46,'Material impact data'!$E$19:$AM$61,'Material impact data'!T$15,0)/VLOOKUP($H46,'Material impact data'!$E$19:$AM$61,4,0)*$I46</f>
        <v>14810.400000000001</v>
      </c>
      <c r="U46" s="140">
        <f>VLOOKUP($H46,'Material impact data'!$E$19:$AM$61,'Material impact data'!U$15,0)/VLOOKUP($H46,'Material impact data'!$E$19:$AM$61,4,0)*$I46</f>
        <v>7.5140999999999999E-4</v>
      </c>
      <c r="V46" s="140">
        <f>VLOOKUP($H46,'Material impact data'!$E$19:$AM$61,'Material impact data'!V$15,0)/VLOOKUP($H46,'Material impact data'!$E$19:$AM$61,4,0)*$I46</f>
        <v>4.7480400000000005</v>
      </c>
      <c r="W46" s="140">
        <f>VLOOKUP($H46,'Material impact data'!$E$19:$AM$61,'Material impact data'!W$15,0)/VLOOKUP($H46,'Material impact data'!$E$19:$AM$61,4,0)*$I46</f>
        <v>1.5246000000000002</v>
      </c>
      <c r="X46" s="140">
        <f>VLOOKUP($H46,'Material impact data'!$E$19:$AM$61,'Material impact data'!X$15,0)/VLOOKUP($H46,'Material impact data'!$E$19:$AM$61,4,0)*$I46</f>
        <v>0.17315100000000003</v>
      </c>
      <c r="Y46" s="140">
        <f>VLOOKUP($H46,'Material impact data'!$E$19:$AM$61,'Material impact data'!Y$15,0)/VLOOKUP($H46,'Material impact data'!$E$19:$AM$61,4,0)*$I46</f>
        <v>3.6481500000000006E-5</v>
      </c>
      <c r="Z46" s="185">
        <f>VLOOKUP($H46,'Material impact data'!$E$19:$AM$61,'Material impact data'!Z$15,0)/VLOOKUP($H46,'Material impact data'!$E$19:$AM$61,4,0)*$I46</f>
        <v>47.262599999999999</v>
      </c>
      <c r="AA46" s="185">
        <f>VLOOKUP($H46,'Material impact data'!$E$19:$AM$61,'Material impact data'!AA$15,0)/VLOOKUP($H46,'Material impact data'!$E$19:$AM$61,4,0)*$I46</f>
        <v>640.33199999999999</v>
      </c>
      <c r="AB46" s="185">
        <f>VLOOKUP($H46,'Material impact data'!$E$19:$AM$61,'Material impact data'!AB$15,0)/VLOOKUP($H46,'Material impact data'!$E$19:$AM$61,4,0)*$I46</f>
        <v>3.3541200000000003E-6</v>
      </c>
      <c r="AC46" s="185">
        <f>VLOOKUP($H46,'Material impact data'!$E$19:$AM$61,'Material impact data'!AC$15,0)/VLOOKUP($H46,'Material impact data'!$E$19:$AM$61,4,0)*$I46</f>
        <v>0.109989</v>
      </c>
      <c r="AD46" s="185">
        <f>VLOOKUP($H46,'Material impact data'!$E$19:$AM$61,'Material impact data'!AD$15,0)/VLOOKUP($H46,'Material impact data'!$E$19:$AM$61,4,0)*$I46</f>
        <v>0.264627</v>
      </c>
      <c r="AE46" s="185">
        <f>VLOOKUP($H46,'Material impact data'!$E$19:$AM$61,'Material impact data'!AE$15,0)/VLOOKUP($H46,'Material impact data'!$E$19:$AM$61,4,0)*$I46</f>
        <v>-0.36699300000000001</v>
      </c>
      <c r="AF46" s="185">
        <f>VLOOKUP($H46,'Material impact data'!$E$19:$AM$61,'Material impact data'!AF$15,0)/VLOOKUP($H46,'Material impact data'!$E$19:$AM$61,4,0)*$I46</f>
        <v>7.7972400000000005E-15</v>
      </c>
      <c r="AG46" s="186">
        <f>VLOOKUP($H46,'Material impact data'!$E$19:$AM$61,'Material impact data'!AG$15,0)/VLOOKUP($H46,'Material impact data'!$E$19:$AM$61,4,0)*$I46</f>
        <v>2.5591499999999998</v>
      </c>
      <c r="AH46" s="186">
        <f>VLOOKUP($H46,'Material impact data'!$E$19:$AM$61,'Material impact data'!AH$15,0)/VLOOKUP($H46,'Material impact data'!$E$19:$AM$61,4,0)*$I46</f>
        <v>35.817210000000003</v>
      </c>
      <c r="AI46" s="186">
        <f>VLOOKUP($H46,'Material impact data'!$E$19:$AM$61,'Material impact data'!AI$15,0)/VLOOKUP($H46,'Material impact data'!$E$19:$AM$61,4,0)*$I46</f>
        <v>9.4634100000000009E-5</v>
      </c>
      <c r="AJ46" s="186">
        <f>VLOOKUP($H46,'Material impact data'!$E$19:$AM$61,'Material impact data'!AJ$15,0)/VLOOKUP($H46,'Material impact data'!$E$19:$AM$61,4,0)*$I46</f>
        <v>0.10890000000000001</v>
      </c>
      <c r="AK46" s="186">
        <f>VLOOKUP($H46,'Material impact data'!$E$19:$AM$61,'Material impact data'!AK$15,0)/VLOOKUP($H46,'Material impact data'!$E$19:$AM$61,4,0)*$I46</f>
        <v>0.43560000000000004</v>
      </c>
      <c r="AL46" s="186">
        <f>VLOOKUP($H46,'Material impact data'!$E$19:$AM$61,'Material impact data'!AL$15,0)/VLOOKUP($H46,'Material impact data'!$E$19:$AM$61,4,0)*$I46</f>
        <v>2.1780000000000002E-3</v>
      </c>
      <c r="AM46" s="186">
        <f>VLOOKUP($H46,'Material impact data'!$E$19:$AM$61,'Material impact data'!AM$15,0)/VLOOKUP($H46,'Material impact data'!$E$19:$AM$61,4,0)*$I46</f>
        <v>1.68795E-7</v>
      </c>
      <c r="AO46" s="187">
        <f>M46/'Building &amp; Material inputs'!$C$18/'Building &amp; Material inputs'!$C$19</f>
        <v>0.16069431500465986</v>
      </c>
      <c r="AP46" s="187">
        <f>N46/'Building &amp; Material inputs'!$C$18/'Building &amp; Material inputs'!$C$19</f>
        <v>1.1840633737185462</v>
      </c>
      <c r="AQ46" s="139">
        <f>O46/'Building &amp; Material inputs'!$C$18/'Building &amp; Material inputs'!$C$19</f>
        <v>2.8924976700838772E-3</v>
      </c>
      <c r="AR46" s="139">
        <f>P46/'Building &amp; Material inputs'!$C$18/'Building &amp; Material inputs'!$C$19</f>
        <v>4.9899813606710162E-2</v>
      </c>
      <c r="AS46" s="170">
        <f>Q46/'Building &amp; Material inputs'!$C$18/'Building &amp; Material inputs'!$C$19</f>
        <v>0</v>
      </c>
      <c r="AT46" s="170">
        <f>R46/'Building &amp; Material inputs'!$C$18/'Building &amp; Material inputs'!$C$19</f>
        <v>1.3701304753028895E-3</v>
      </c>
      <c r="AU46" s="187">
        <f>S46/'Building &amp; Material inputs'!$C$18/'Building &amp; Material inputs'!$C$19</f>
        <v>0.23850419384902147</v>
      </c>
      <c r="AV46" s="187">
        <f>T46/'Building &amp; Material inputs'!$C$18/'Building &amp; Material inputs'!$C$19</f>
        <v>1.1502329916123022</v>
      </c>
      <c r="AW46" s="187">
        <f>U46/'Building &amp; Material inputs'!$C$18/'Building &amp; Material inputs'!$C$19</f>
        <v>5.8357409133271203E-8</v>
      </c>
      <c r="AX46" s="187">
        <f>V46/'Building &amp; Material inputs'!$C$18/'Building &amp; Material inputs'!$C$19</f>
        <v>3.6875116495806159E-4</v>
      </c>
      <c r="AY46" s="187">
        <f>W46/'Building &amp; Material inputs'!$C$18/'Building &amp; Material inputs'!$C$19</f>
        <v>1.1840633737185463E-4</v>
      </c>
      <c r="AZ46" s="187">
        <f>X46/'Building &amp; Material inputs'!$C$18/'Building &amp; Material inputs'!$C$19</f>
        <v>1.3447576887232063E-5</v>
      </c>
      <c r="BA46" s="187">
        <f>Y46/'Building &amp; Material inputs'!$C$18/'Building &amp; Material inputs'!$C$19</f>
        <v>2.8332945013979506E-9</v>
      </c>
      <c r="BB46" s="139">
        <f>Z46/'Building &amp; Material inputs'!$C$18/'Building &amp; Material inputs'!$C$19</f>
        <v>3.6705964585274932E-3</v>
      </c>
      <c r="BC46" s="139">
        <f>AA46/'Building &amp; Material inputs'!$C$18/'Building &amp; Material inputs'!$C$19</f>
        <v>4.9730661696178943E-2</v>
      </c>
      <c r="BD46" s="139">
        <f>AB46/'Building &amp; Material inputs'!$C$18/'Building &amp; Material inputs'!$C$19</f>
        <v>2.6049394221808018E-10</v>
      </c>
      <c r="BE46" s="139">
        <f>AC46/'Building &amp; Material inputs'!$C$18/'Building &amp; Material inputs'!$C$19</f>
        <v>8.5421714818266554E-6</v>
      </c>
      <c r="BF46" s="139">
        <f>AD46/'Building &amp; Material inputs'!$C$18/'Building &amp; Material inputs'!$C$19</f>
        <v>2.0551957129543337E-5</v>
      </c>
      <c r="BG46" s="139">
        <f>AE46/'Building &amp; Material inputs'!$C$18/'Building &amp; Material inputs'!$C$19</f>
        <v>-2.8502096924510721E-5</v>
      </c>
      <c r="BH46" s="139">
        <f>AF46/'Building &amp; Material inputs'!$C$18/'Building &amp; Material inputs'!$C$19</f>
        <v>6.0556383970177081E-19</v>
      </c>
      <c r="BI46" s="170">
        <f>AG46/'Building &amp; Material inputs'!$C$18/'Building &amp; Material inputs'!$C$19</f>
        <v>1.9875349487418455E-4</v>
      </c>
      <c r="BJ46" s="170">
        <f>AH46/'Building &amp; Material inputs'!$C$18/'Building &amp; Material inputs'!$C$19</f>
        <v>2.781703168685928E-3</v>
      </c>
      <c r="BK46" s="170">
        <f>AI46/'Building &amp; Material inputs'!$C$18/'Building &amp; Material inputs'!$C$19</f>
        <v>7.3496505125815477E-9</v>
      </c>
      <c r="BL46" s="170">
        <f>AJ46/'Building &amp; Material inputs'!$C$18/'Building &amp; Material inputs'!$C$19</f>
        <v>8.4575955265610452E-6</v>
      </c>
      <c r="BM46" s="170">
        <f>AK46/'Building &amp; Material inputs'!$C$18/'Building &amp; Material inputs'!$C$19</f>
        <v>3.3830382106244181E-5</v>
      </c>
      <c r="BN46" s="170">
        <f>AL46/'Building &amp; Material inputs'!$C$18/'Building &amp; Material inputs'!$C$19</f>
        <v>1.6915191053122089E-7</v>
      </c>
      <c r="BO46" s="170">
        <f>AM46/'Building &amp; Material inputs'!$C$18/'Building &amp; Material inputs'!$C$19</f>
        <v>1.3109273066169619E-11</v>
      </c>
    </row>
    <row r="47" spans="2:67" x14ac:dyDescent="0.25">
      <c r="B47" s="334"/>
      <c r="C47" s="320"/>
      <c r="D47" s="305"/>
      <c r="E47" s="306"/>
      <c r="F47" s="8" t="s">
        <v>600</v>
      </c>
      <c r="G47" s="7" t="s">
        <v>20</v>
      </c>
      <c r="H47" s="7" t="str">
        <f>'Material quantities'!G48</f>
        <v>REB</v>
      </c>
      <c r="I47" s="38">
        <f>'Material quantities'!O48</f>
        <v>2203.047</v>
      </c>
      <c r="J47" s="42" t="s">
        <v>15</v>
      </c>
      <c r="K47" s="2"/>
      <c r="L47" s="144">
        <f>VLOOKUP($H47,'Material impact data'!$E$19:$AM$61,6,0)/VLOOKUP($H47,'Material impact data'!$E$19:$AM$61,4,0)*$I47</f>
        <v>3965.4846000000002</v>
      </c>
      <c r="M47" s="140">
        <f>VLOOKUP($H47,'Material impact data'!$E$19:$AM$61,'Material impact data'!M$15,0)/VLOOKUP($H47,'Material impact data'!$E$19:$AM$61,4,0)*$I47</f>
        <v>3489.626448</v>
      </c>
      <c r="N47" s="140">
        <f>VLOOKUP($H47,'Material impact data'!$E$19:$AM$61,'Material impact data'!N$15,0)/VLOOKUP($H47,'Material impact data'!$E$19:$AM$61,4,0)*$I47</f>
        <v>15850.923165</v>
      </c>
      <c r="O47" s="185">
        <f>VLOOKUP($H47,'Material impact data'!$E$19:$AM$61,'Material impact data'!O$15,0)/VLOOKUP($H47,'Material impact data'!$E$19:$AM$61,4,0)*$I47</f>
        <v>26.436564000000001</v>
      </c>
      <c r="P47" s="185">
        <f>VLOOKUP($H47,'Material impact data'!$E$19:$AM$61,'Material impact data'!P$15,0)/VLOOKUP($H47,'Material impact data'!$E$19:$AM$61,4,0)*$I47</f>
        <v>1445.198832</v>
      </c>
      <c r="Q47" s="186">
        <f>VLOOKUP($H47,'Material impact data'!$E$19:$AM$61,'Material impact data'!Q$15,0)/VLOOKUP($H47,'Material impact data'!$E$19:$AM$61,4,0)*$I47</f>
        <v>0</v>
      </c>
      <c r="R47" s="186">
        <f>VLOOKUP($H47,'Material impact data'!$E$19:$AM$61,'Material impact data'!R$15,0)/VLOOKUP($H47,'Material impact data'!$E$19:$AM$61,4,0)*$I47</f>
        <v>6.6091409999999989E-2</v>
      </c>
      <c r="S47" s="140">
        <f>VLOOKUP($H47,'Material impact data'!$E$19:$AM$61,'Material impact data'!S$15,0)/VLOOKUP($H47,'Material impact data'!$E$19:$AM$61,4,0)*$I47</f>
        <v>1161.0057690000001</v>
      </c>
      <c r="T47" s="140">
        <f>VLOOKUP($H47,'Material impact data'!$E$19:$AM$61,'Material impact data'!T$15,0)/VLOOKUP($H47,'Material impact data'!$E$19:$AM$61,4,0)*$I47</f>
        <v>14374.881675000001</v>
      </c>
      <c r="U47" s="140">
        <f>VLOOKUP($H47,'Material impact data'!$E$19:$AM$61,'Material impact data'!U$15,0)/VLOOKUP($H47,'Material impact data'!$E$19:$AM$61,4,0)*$I47</f>
        <v>2.2455658070999998E-3</v>
      </c>
      <c r="V47" s="140">
        <f>VLOOKUP($H47,'Material impact data'!$E$19:$AM$61,'Material impact data'!V$15,0)/VLOOKUP($H47,'Material impact data'!$E$19:$AM$61,4,0)*$I47</f>
        <v>4.4060940000000004</v>
      </c>
      <c r="W47" s="140">
        <f>VLOOKUP($H47,'Material impact data'!$E$19:$AM$61,'Material impact data'!W$15,0)/VLOOKUP($H47,'Material impact data'!$E$19:$AM$61,4,0)*$I47</f>
        <v>1.876996044</v>
      </c>
      <c r="X47" s="140">
        <f>VLOOKUP($H47,'Material impact data'!$E$19:$AM$61,'Material impact data'!X$15,0)/VLOOKUP($H47,'Material impact data'!$E$19:$AM$61,4,0)*$I47</f>
        <v>0.41417283599999999</v>
      </c>
      <c r="Y47" s="140">
        <f>VLOOKUP($H47,'Material impact data'!$E$19:$AM$61,'Material impact data'!Y$15,0)/VLOOKUP($H47,'Material impact data'!$E$19:$AM$61,4,0)*$I47</f>
        <v>1.18753045488E-4</v>
      </c>
      <c r="Z47" s="185">
        <f>VLOOKUP($H47,'Material impact data'!$E$19:$AM$61,'Material impact data'!Z$15,0)/VLOOKUP($H47,'Material impact data'!$E$19:$AM$61,4,0)*$I47</f>
        <v>90.324927000000002</v>
      </c>
      <c r="AA47" s="185">
        <f>VLOOKUP($H47,'Material impact data'!$E$19:$AM$61,'Material impact data'!AA$15,0)/VLOOKUP($H47,'Material impact data'!$E$19:$AM$61,4,0)*$I47</f>
        <v>1398.934845</v>
      </c>
      <c r="AB47" s="185">
        <f>VLOOKUP($H47,'Material impact data'!$E$19:$AM$61,'Material impact data'!AB$15,0)/VLOOKUP($H47,'Material impact data'!$E$19:$AM$61,4,0)*$I47</f>
        <v>1.572975558E-4</v>
      </c>
      <c r="AC47" s="185">
        <f>VLOOKUP($H47,'Material impact data'!$E$19:$AM$61,'Material impact data'!AC$15,0)/VLOOKUP($H47,'Material impact data'!$E$19:$AM$61,4,0)*$I47</f>
        <v>0.52873127999999991</v>
      </c>
      <c r="AD47" s="185">
        <f>VLOOKUP($H47,'Material impact data'!$E$19:$AM$61,'Material impact data'!AD$15,0)/VLOOKUP($H47,'Material impact data'!$E$19:$AM$61,4,0)*$I47</f>
        <v>9.2527974000000013E-2</v>
      </c>
      <c r="AE47" s="185">
        <f>VLOOKUP($H47,'Material impact data'!$E$19:$AM$61,'Material impact data'!AE$15,0)/VLOOKUP($H47,'Material impact data'!$E$19:$AM$61,4,0)*$I47</f>
        <v>1.9827422999999997E-2</v>
      </c>
      <c r="AF47" s="185">
        <f>VLOOKUP($H47,'Material impact data'!$E$19:$AM$61,'Material impact data'!AF$15,0)/VLOOKUP($H47,'Material impact data'!$E$19:$AM$61,4,0)*$I47</f>
        <v>1.7315949419999998E-5</v>
      </c>
      <c r="AG47" s="186">
        <f>VLOOKUP($H47,'Material impact data'!$E$19:$AM$61,'Material impact data'!AG$15,0)/VLOOKUP($H47,'Material impact data'!$E$19:$AM$61,4,0)*$I47</f>
        <v>1.8483564330000002E-4</v>
      </c>
      <c r="AH47" s="186">
        <f>VLOOKUP($H47,'Material impact data'!$E$19:$AM$61,'Material impact data'!AH$15,0)/VLOOKUP($H47,'Material impact data'!$E$19:$AM$61,4,0)*$I47</f>
        <v>2.2030470000000001E-3</v>
      </c>
      <c r="AI47" s="186">
        <f>VLOOKUP($H47,'Material impact data'!$E$19:$AM$61,'Material impact data'!AI$15,0)/VLOOKUP($H47,'Material impact data'!$E$19:$AM$61,4,0)*$I47</f>
        <v>6.8294457000000001E-9</v>
      </c>
      <c r="AJ47" s="186">
        <f>VLOOKUP($H47,'Material impact data'!$E$19:$AM$61,'Material impact data'!AJ$15,0)/VLOOKUP($H47,'Material impact data'!$E$19:$AM$61,4,0)*$I47</f>
        <v>8.1292434299999998E-7</v>
      </c>
      <c r="AK47" s="186">
        <f>VLOOKUP($H47,'Material impact data'!$E$19:$AM$61,'Material impact data'!AK$15,0)/VLOOKUP($H47,'Material impact data'!$E$19:$AM$61,4,0)*$I47</f>
        <v>3.32660097E-6</v>
      </c>
      <c r="AL47" s="186">
        <f>VLOOKUP($H47,'Material impact data'!$E$19:$AM$61,'Material impact data'!AL$15,0)/VLOOKUP($H47,'Material impact data'!$E$19:$AM$61,4,0)*$I47</f>
        <v>1.570772511E-7</v>
      </c>
      <c r="AM47" s="186">
        <f>VLOOKUP($H47,'Material impact data'!$E$19:$AM$61,'Material impact data'!AM$15,0)/VLOOKUP($H47,'Material impact data'!$E$19:$AM$61,4,0)*$I47</f>
        <v>1.218284991E-11</v>
      </c>
      <c r="AO47" s="187">
        <f>M47/'Building &amp; Material inputs'!$C$18/'Building &amp; Material inputs'!$C$19</f>
        <v>0.2710178974836906</v>
      </c>
      <c r="AP47" s="187">
        <f>N47/'Building &amp; Material inputs'!$C$18/'Building &amp; Material inputs'!$C$19</f>
        <v>1.2310440482292639</v>
      </c>
      <c r="AQ47" s="139">
        <f>O47/'Building &amp; Material inputs'!$C$18/'Building &amp; Material inputs'!$C$19</f>
        <v>2.0531658900279593E-3</v>
      </c>
      <c r="AR47" s="139">
        <f>P47/'Building &amp; Material inputs'!$C$18/'Building &amp; Material inputs'!$C$19</f>
        <v>0.11223973532152844</v>
      </c>
      <c r="AS47" s="170">
        <f>Q47/'Building &amp; Material inputs'!$C$18/'Building &amp; Material inputs'!$C$19</f>
        <v>0</v>
      </c>
      <c r="AT47" s="170">
        <f>R47/'Building &amp; Material inputs'!$C$18/'Building &amp; Material inputs'!$C$19</f>
        <v>5.1329147250698975E-6</v>
      </c>
      <c r="AU47" s="187">
        <f>S47/'Building &amp; Material inputs'!$C$18/'Building &amp; Material inputs'!$C$19</f>
        <v>9.0168202003727882E-2</v>
      </c>
      <c r="AV47" s="187">
        <f>T47/'Building &amp; Material inputs'!$C$18/'Building &amp; Material inputs'!$C$19</f>
        <v>1.1164089527027028</v>
      </c>
      <c r="AW47" s="187">
        <f>U47/'Building &amp; Material inputs'!$C$18/'Building &amp; Material inputs'!$C$19</f>
        <v>1.7439933264212489E-7</v>
      </c>
      <c r="AX47" s="187">
        <f>V47/'Building &amp; Material inputs'!$C$18/'Building &amp; Material inputs'!$C$19</f>
        <v>3.4219431500465987E-4</v>
      </c>
      <c r="AY47" s="187">
        <f>W47/'Building &amp; Material inputs'!$C$18/'Building &amp; Material inputs'!$C$19</f>
        <v>1.457747781919851E-4</v>
      </c>
      <c r="AZ47" s="187">
        <f>X47/'Building &amp; Material inputs'!$C$18/'Building &amp; Material inputs'!$C$19</f>
        <v>3.2166265610438026E-5</v>
      </c>
      <c r="BA47" s="187">
        <f>Y47/'Building &amp; Material inputs'!$C$18/'Building &amp; Material inputs'!$C$19</f>
        <v>9.2228211780055919E-9</v>
      </c>
      <c r="BB47" s="139">
        <f>Z47/'Building &amp; Material inputs'!$C$18/'Building &amp; Material inputs'!$C$19</f>
        <v>7.0149834575955273E-3</v>
      </c>
      <c r="BC47" s="139">
        <f>AA47/'Building &amp; Material inputs'!$C$18/'Building &amp; Material inputs'!$C$19</f>
        <v>0.1086466950139795</v>
      </c>
      <c r="BD47" s="139">
        <f>AB47/'Building &amp; Material inputs'!$C$18/'Building &amp; Material inputs'!$C$19</f>
        <v>1.2216337045666358E-8</v>
      </c>
      <c r="BE47" s="139">
        <f>AC47/'Building &amp; Material inputs'!$C$18/'Building &amp; Material inputs'!$C$19</f>
        <v>4.106331780055918E-5</v>
      </c>
      <c r="BF47" s="139">
        <f>AD47/'Building &amp; Material inputs'!$C$18/'Building &amp; Material inputs'!$C$19</f>
        <v>7.1860806150978579E-6</v>
      </c>
      <c r="BG47" s="139">
        <f>AE47/'Building &amp; Material inputs'!$C$18/'Building &amp; Material inputs'!$C$19</f>
        <v>1.5398744175209692E-6</v>
      </c>
      <c r="BH47" s="139">
        <f>AF47/'Building &amp; Material inputs'!$C$18/'Building &amp; Material inputs'!$C$19</f>
        <v>1.3448236579683132E-9</v>
      </c>
      <c r="BI47" s="170">
        <f>AG47/'Building &amp; Material inputs'!$C$18/'Building &amp; Material inputs'!$C$19</f>
        <v>1.4355051514445484E-8</v>
      </c>
      <c r="BJ47" s="170">
        <f>AH47/'Building &amp; Material inputs'!$C$18/'Building &amp; Material inputs'!$C$19</f>
        <v>1.7109715750232993E-7</v>
      </c>
      <c r="BK47" s="170">
        <f>AI47/'Building &amp; Material inputs'!$C$18/'Building &amp; Material inputs'!$C$19</f>
        <v>5.3040118825722278E-13</v>
      </c>
      <c r="BL47" s="170">
        <f>AJ47/'Building &amp; Material inputs'!$C$18/'Building &amp; Material inputs'!$C$19</f>
        <v>6.3134851118359744E-11</v>
      </c>
      <c r="BM47" s="170">
        <f>AK47/'Building &amp; Material inputs'!$C$18/'Building &amp; Material inputs'!$C$19</f>
        <v>2.5835670782851818E-10</v>
      </c>
      <c r="BN47" s="170">
        <f>AL47/'Building &amp; Material inputs'!$C$18/'Building &amp; Material inputs'!$C$19</f>
        <v>1.2199227329916125E-11</v>
      </c>
      <c r="BO47" s="170">
        <f>AM47/'Building &amp; Material inputs'!$C$18/'Building &amp; Material inputs'!$C$19</f>
        <v>9.4616728098788464E-16</v>
      </c>
    </row>
    <row r="48" spans="2:67" x14ac:dyDescent="0.25">
      <c r="B48" s="334"/>
      <c r="C48" s="320"/>
      <c r="D48" s="305"/>
      <c r="E48" s="307" t="s">
        <v>460</v>
      </c>
      <c r="F48" s="59" t="s">
        <v>126</v>
      </c>
      <c r="G48" s="60" t="s">
        <v>19</v>
      </c>
      <c r="H48" s="7" t="str">
        <f>'Material quantities'!G49</f>
        <v>CON2</v>
      </c>
      <c r="I48" s="38">
        <f>'Material quantities'!O49</f>
        <v>68.102499999999992</v>
      </c>
      <c r="J48" s="62" t="s">
        <v>14</v>
      </c>
      <c r="K48" s="2"/>
      <c r="L48" s="144">
        <f>VLOOKUP($H48,'Material impact data'!$E$19:$AM$61,6,0)/VLOOKUP($H48,'Material impact data'!$E$19:$AM$61,4,0)*$I48</f>
        <v>16636.078699999998</v>
      </c>
      <c r="M48" s="140">
        <f>VLOOKUP($H48,'Material impact data'!$E$19:$AM$61,'Material impact data'!M$15,0)/VLOOKUP($H48,'Material impact data'!$E$19:$AM$61,4,0)*$I48</f>
        <v>12939.474999999999</v>
      </c>
      <c r="N48" s="140">
        <f>VLOOKUP($H48,'Material impact data'!$E$19:$AM$61,'Material impact data'!N$15,0)/VLOOKUP($H48,'Material impact data'!$E$19:$AM$61,4,0)*$I48</f>
        <v>95343.499999999985</v>
      </c>
      <c r="O48" s="185">
        <f>VLOOKUP($H48,'Material impact data'!$E$19:$AM$61,'Material impact data'!O$15,0)/VLOOKUP($H48,'Material impact data'!$E$19:$AM$61,4,0)*$I48</f>
        <v>232.91054999999997</v>
      </c>
      <c r="P48" s="185">
        <f>VLOOKUP($H48,'Material impact data'!$E$19:$AM$61,'Material impact data'!P$15,0)/VLOOKUP($H48,'Material impact data'!$E$19:$AM$61,4,0)*$I48</f>
        <v>4018.0474999999997</v>
      </c>
      <c r="Q48" s="186">
        <f>VLOOKUP($H48,'Material impact data'!$E$19:$AM$61,'Material impact data'!Q$15,0)/VLOOKUP($H48,'Material impact data'!$E$19:$AM$61,4,0)*$I48</f>
        <v>0</v>
      </c>
      <c r="R48" s="186">
        <f>VLOOKUP($H48,'Material impact data'!$E$19:$AM$61,'Material impact data'!R$15,0)/VLOOKUP($H48,'Material impact data'!$E$19:$AM$61,4,0)*$I48</f>
        <v>15.323062499999999</v>
      </c>
      <c r="S48" s="140">
        <f>VLOOKUP($H48,'Material impact data'!$E$19:$AM$61,'Material impact data'!S$15,0)/VLOOKUP($H48,'Material impact data'!$E$19:$AM$61,4,0)*$I48</f>
        <v>19204.904999999999</v>
      </c>
      <c r="T48" s="140">
        <f>VLOOKUP($H48,'Material impact data'!$E$19:$AM$61,'Material impact data'!T$15,0)/VLOOKUP($H48,'Material impact data'!$E$19:$AM$61,4,0)*$I48</f>
        <v>92619.4</v>
      </c>
      <c r="U48" s="140">
        <f>VLOOKUP($H48,'Material impact data'!$E$19:$AM$61,'Material impact data'!U$15,0)/VLOOKUP($H48,'Material impact data'!$E$19:$AM$61,4,0)*$I48</f>
        <v>4.6990724999999992E-3</v>
      </c>
      <c r="V48" s="140">
        <f>VLOOKUP($H48,'Material impact data'!$E$19:$AM$61,'Material impact data'!V$15,0)/VLOOKUP($H48,'Material impact data'!$E$19:$AM$61,4,0)*$I48</f>
        <v>29.692689999999995</v>
      </c>
      <c r="W48" s="140">
        <f>VLOOKUP($H48,'Material impact data'!$E$19:$AM$61,'Material impact data'!W$15,0)/VLOOKUP($H48,'Material impact data'!$E$19:$AM$61,4,0)*$I48</f>
        <v>9.5343499999999999</v>
      </c>
      <c r="X48" s="140">
        <f>VLOOKUP($H48,'Material impact data'!$E$19:$AM$61,'Material impact data'!X$15,0)/VLOOKUP($H48,'Material impact data'!$E$19:$AM$61,4,0)*$I48</f>
        <v>1.0828297499999999</v>
      </c>
      <c r="Y48" s="140">
        <f>VLOOKUP($H48,'Material impact data'!$E$19:$AM$61,'Material impact data'!Y$15,0)/VLOOKUP($H48,'Material impact data'!$E$19:$AM$61,4,0)*$I48</f>
        <v>2.2814337499999998E-4</v>
      </c>
      <c r="Z48" s="185">
        <f>VLOOKUP($H48,'Material impact data'!$E$19:$AM$61,'Material impact data'!Z$15,0)/VLOOKUP($H48,'Material impact data'!$E$19:$AM$61,4,0)*$I48</f>
        <v>295.56484999999998</v>
      </c>
      <c r="AA48" s="185">
        <f>VLOOKUP($H48,'Material impact data'!$E$19:$AM$61,'Material impact data'!AA$15,0)/VLOOKUP($H48,'Material impact data'!$E$19:$AM$61,4,0)*$I48</f>
        <v>4004.4269999999992</v>
      </c>
      <c r="AB48" s="185">
        <f>VLOOKUP($H48,'Material impact data'!$E$19:$AM$61,'Material impact data'!AB$15,0)/VLOOKUP($H48,'Material impact data'!$E$19:$AM$61,4,0)*$I48</f>
        <v>2.0975569999999997E-5</v>
      </c>
      <c r="AC48" s="185">
        <f>VLOOKUP($H48,'Material impact data'!$E$19:$AM$61,'Material impact data'!AC$15,0)/VLOOKUP($H48,'Material impact data'!$E$19:$AM$61,4,0)*$I48</f>
        <v>0.6878352499999999</v>
      </c>
      <c r="AD48" s="185">
        <f>VLOOKUP($H48,'Material impact data'!$E$19:$AM$61,'Material impact data'!AD$15,0)/VLOOKUP($H48,'Material impact data'!$E$19:$AM$61,4,0)*$I48</f>
        <v>1.6548907499999996</v>
      </c>
      <c r="AE48" s="185">
        <f>VLOOKUP($H48,'Material impact data'!$E$19:$AM$61,'Material impact data'!AE$15,0)/VLOOKUP($H48,'Material impact data'!$E$19:$AM$61,4,0)*$I48</f>
        <v>-2.2950542499999997</v>
      </c>
      <c r="AF48" s="185">
        <f>VLOOKUP($H48,'Material impact data'!$E$19:$AM$61,'Material impact data'!AF$15,0)/VLOOKUP($H48,'Material impact data'!$E$19:$AM$61,4,0)*$I48</f>
        <v>4.8761389999999995E-14</v>
      </c>
      <c r="AG48" s="186">
        <f>VLOOKUP($H48,'Material impact data'!$E$19:$AM$61,'Material impact data'!AG$15,0)/VLOOKUP($H48,'Material impact data'!$E$19:$AM$61,4,0)*$I48</f>
        <v>2.2473825000000001</v>
      </c>
      <c r="AH48" s="186">
        <f>VLOOKUP($H48,'Material impact data'!$E$19:$AM$61,'Material impact data'!AH$15,0)/VLOOKUP($H48,'Material impact data'!$E$19:$AM$61,4,0)*$I48</f>
        <v>31.054739999999999</v>
      </c>
      <c r="AI48" s="186">
        <f>VLOOKUP($H48,'Material impact data'!$E$19:$AM$61,'Material impact data'!AI$15,0)/VLOOKUP($H48,'Material impact data'!$E$19:$AM$61,4,0)*$I48</f>
        <v>8.2404025000000001E-5</v>
      </c>
      <c r="AJ48" s="186">
        <f>VLOOKUP($H48,'Material impact data'!$E$19:$AM$61,'Material impact data'!AJ$15,0)/VLOOKUP($H48,'Material impact data'!$E$19:$AM$61,4,0)*$I48</f>
        <v>9.7386574999999993E-3</v>
      </c>
      <c r="AK48" s="186">
        <f>VLOOKUP($H48,'Material impact data'!$E$19:$AM$61,'Material impact data'!AK$15,0)/VLOOKUP($H48,'Material impact data'!$E$19:$AM$61,4,0)*$I48</f>
        <v>3.9908065E-2</v>
      </c>
      <c r="AL48" s="186">
        <f>VLOOKUP($H48,'Material impact data'!$E$19:$AM$61,'Material impact data'!AL$15,0)/VLOOKUP($H48,'Material impact data'!$E$19:$AM$61,4,0)*$I48</f>
        <v>1.8864392499999998E-3</v>
      </c>
      <c r="AM48" s="186">
        <f>VLOOKUP($H48,'Material impact data'!$E$19:$AM$61,'Material impact data'!AM$15,0)/VLOOKUP($H48,'Material impact data'!$E$19:$AM$61,4,0)*$I48</f>
        <v>1.4642037499999997E-7</v>
      </c>
      <c r="AO48" s="187">
        <f>M48/'Building &amp; Material inputs'!$C$18/'Building &amp; Material inputs'!$C$19</f>
        <v>1.0049297141969555</v>
      </c>
      <c r="AP48" s="187">
        <f>N48/'Building &amp; Material inputs'!$C$18/'Building &amp; Material inputs'!$C$19</f>
        <v>7.4047452625038828</v>
      </c>
      <c r="AQ48" s="139">
        <f>O48/'Building &amp; Material inputs'!$C$18/'Building &amp; Material inputs'!$C$19</f>
        <v>1.8088734855545199E-2</v>
      </c>
      <c r="AR48" s="139">
        <f>P48/'Building &amp; Material inputs'!$C$18/'Building &amp; Material inputs'!$C$19</f>
        <v>0.31205712177694933</v>
      </c>
      <c r="AS48" s="170">
        <f>Q48/'Building &amp; Material inputs'!$C$18/'Building &amp; Material inputs'!$C$19</f>
        <v>0</v>
      </c>
      <c r="AT48" s="170">
        <f>R48/'Building &amp; Material inputs'!$C$18/'Building &amp; Material inputs'!$C$19</f>
        <v>1.1900483457595527E-3</v>
      </c>
      <c r="AU48" s="187">
        <f>S48/'Building &amp; Material inputs'!$C$18/'Building &amp; Material inputs'!$C$19</f>
        <v>1.4915272600186393</v>
      </c>
      <c r="AV48" s="187">
        <f>T48/'Building &amp; Material inputs'!$C$18/'Building &amp; Material inputs'!$C$19</f>
        <v>7.1931811121466298</v>
      </c>
      <c r="AW48" s="187">
        <f>U48/'Building &amp; Material inputs'!$C$18/'Building &amp; Material inputs'!$C$19</f>
        <v>3.649481593662628E-7</v>
      </c>
      <c r="AX48" s="187">
        <f>V48/'Building &amp; Material inputs'!$C$18/'Building &amp; Material inputs'!$C$19</f>
        <v>2.3060492388940661E-3</v>
      </c>
      <c r="AY48" s="187">
        <f>W48/'Building &amp; Material inputs'!$C$18/'Building &amp; Material inputs'!$C$19</f>
        <v>7.404745262503884E-4</v>
      </c>
      <c r="AZ48" s="187">
        <f>X48/'Building &amp; Material inputs'!$C$18/'Building &amp; Material inputs'!$C$19</f>
        <v>8.4096749767008383E-5</v>
      </c>
      <c r="BA48" s="187">
        <f>Y48/'Building &amp; Material inputs'!$C$18/'Building &amp; Material inputs'!$C$19</f>
        <v>1.7718497592420005E-8</v>
      </c>
      <c r="BB48" s="139">
        <f>Z48/'Building &amp; Material inputs'!$C$18/'Building &amp; Material inputs'!$C$19</f>
        <v>2.295471031376204E-2</v>
      </c>
      <c r="BC48" s="139">
        <f>AA48/'Building &amp; Material inputs'!$C$18/'Building &amp; Material inputs'!$C$19</f>
        <v>0.31099930102516304</v>
      </c>
      <c r="BD48" s="139">
        <f>AB48/'Building &amp; Material inputs'!$C$18/'Building &amp; Material inputs'!$C$19</f>
        <v>1.6290439577508544E-9</v>
      </c>
      <c r="BE48" s="139">
        <f>AC48/'Building &amp; Material inputs'!$C$18/'Building &amp; Material inputs'!$C$19</f>
        <v>5.3419947965206588E-5</v>
      </c>
      <c r="BF48" s="139">
        <f>AD48/'Building &amp; Material inputs'!$C$18/'Building &amp; Material inputs'!$C$19</f>
        <v>1.2852522134203166E-4</v>
      </c>
      <c r="BG48" s="139">
        <f>AE48/'Building &amp; Material inputs'!$C$18/'Building &amp; Material inputs'!$C$19</f>
        <v>-1.7824279667598631E-4</v>
      </c>
      <c r="BH48" s="139">
        <f>AF48/'Building &amp; Material inputs'!$C$18/'Building &amp; Material inputs'!$C$19</f>
        <v>3.7869982913948432E-18</v>
      </c>
      <c r="BI48" s="170">
        <f>AG48/'Building &amp; Material inputs'!$C$18/'Building &amp; Material inputs'!$C$19</f>
        <v>1.745404240447344E-4</v>
      </c>
      <c r="BJ48" s="170">
        <f>AH48/'Building &amp; Material inputs'!$C$18/'Building &amp; Material inputs'!$C$19</f>
        <v>2.4118313140726933E-3</v>
      </c>
      <c r="BK48" s="170">
        <f>AI48/'Building &amp; Material inputs'!$C$18/'Building &amp; Material inputs'!$C$19</f>
        <v>6.3998155483069285E-9</v>
      </c>
      <c r="BL48" s="170">
        <f>AJ48/'Building &amp; Material inputs'!$C$18/'Building &amp; Material inputs'!$C$19</f>
        <v>7.563418375271823E-7</v>
      </c>
      <c r="BM48" s="170">
        <f>AK48/'Building &amp; Material inputs'!$C$18/'Building &amp; Material inputs'!$C$19</f>
        <v>3.0994148027337682E-6</v>
      </c>
      <c r="BN48" s="170">
        <f>AL48/'Building &amp; Material inputs'!$C$18/'Building &amp; Material inputs'!$C$19</f>
        <v>1.4650817412239827E-7</v>
      </c>
      <c r="BO48" s="170">
        <f>AM48/'Building &amp; Material inputs'!$C$18/'Building &amp; Material inputs'!$C$19</f>
        <v>1.137157308170239E-11</v>
      </c>
    </row>
    <row r="49" spans="2:67" x14ac:dyDescent="0.25">
      <c r="B49" s="334"/>
      <c r="C49" s="320"/>
      <c r="D49" s="305"/>
      <c r="E49" s="308"/>
      <c r="F49" s="59" t="s">
        <v>127</v>
      </c>
      <c r="G49" s="60" t="s">
        <v>20</v>
      </c>
      <c r="H49" s="7" t="str">
        <f>'Material quantities'!G50</f>
        <v>REB</v>
      </c>
      <c r="I49" s="38">
        <f>'Material quantities'!O50</f>
        <v>6129.2249999999995</v>
      </c>
      <c r="J49" s="62" t="s">
        <v>15</v>
      </c>
      <c r="K49" s="2"/>
      <c r="L49" s="144">
        <f>VLOOKUP($H49,'Material impact data'!$E$19:$AM$61,6,0)/VLOOKUP($H49,'Material impact data'!$E$19:$AM$61,4,0)*$I49</f>
        <v>11032.605</v>
      </c>
      <c r="M49" s="140">
        <f>VLOOKUP($H49,'Material impact data'!$E$19:$AM$61,'Material impact data'!M$15,0)/VLOOKUP($H49,'Material impact data'!$E$19:$AM$61,4,0)*$I49</f>
        <v>9708.6923999999999</v>
      </c>
      <c r="N49" s="140">
        <f>VLOOKUP($H49,'Material impact data'!$E$19:$AM$61,'Material impact data'!N$15,0)/VLOOKUP($H49,'Material impact data'!$E$19:$AM$61,4,0)*$I49</f>
        <v>44099.773874999999</v>
      </c>
      <c r="O49" s="185">
        <f>VLOOKUP($H49,'Material impact data'!$E$19:$AM$61,'Material impact data'!O$15,0)/VLOOKUP($H49,'Material impact data'!$E$19:$AM$61,4,0)*$I49</f>
        <v>73.550699999999992</v>
      </c>
      <c r="P49" s="185">
        <f>VLOOKUP($H49,'Material impact data'!$E$19:$AM$61,'Material impact data'!P$15,0)/VLOOKUP($H49,'Material impact data'!$E$19:$AM$61,4,0)*$I49</f>
        <v>4020.7716</v>
      </c>
      <c r="Q49" s="186">
        <f>VLOOKUP($H49,'Material impact data'!$E$19:$AM$61,'Material impact data'!Q$15,0)/VLOOKUP($H49,'Material impact data'!$E$19:$AM$61,4,0)*$I49</f>
        <v>0</v>
      </c>
      <c r="R49" s="186">
        <f>VLOOKUP($H49,'Material impact data'!$E$19:$AM$61,'Material impact data'!R$15,0)/VLOOKUP($H49,'Material impact data'!$E$19:$AM$61,4,0)*$I49</f>
        <v>0.18387674999999998</v>
      </c>
      <c r="S49" s="140">
        <f>VLOOKUP($H49,'Material impact data'!$E$19:$AM$61,'Material impact data'!S$15,0)/VLOOKUP($H49,'Material impact data'!$E$19:$AM$61,4,0)*$I49</f>
        <v>3230.1015749999997</v>
      </c>
      <c r="T49" s="140">
        <f>VLOOKUP($H49,'Material impact data'!$E$19:$AM$61,'Material impact data'!T$15,0)/VLOOKUP($H49,'Material impact data'!$E$19:$AM$61,4,0)*$I49</f>
        <v>39993.193124999998</v>
      </c>
      <c r="U49" s="140">
        <f>VLOOKUP($H49,'Material impact data'!$E$19:$AM$61,'Material impact data'!U$15,0)/VLOOKUP($H49,'Material impact data'!$E$19:$AM$61,4,0)*$I49</f>
        <v>6.2475190424999992E-3</v>
      </c>
      <c r="V49" s="140">
        <f>VLOOKUP($H49,'Material impact data'!$E$19:$AM$61,'Material impact data'!V$15,0)/VLOOKUP($H49,'Material impact data'!$E$19:$AM$61,4,0)*$I49</f>
        <v>12.25845</v>
      </c>
      <c r="W49" s="140">
        <f>VLOOKUP($H49,'Material impact data'!$E$19:$AM$61,'Material impact data'!W$15,0)/VLOOKUP($H49,'Material impact data'!$E$19:$AM$61,4,0)*$I49</f>
        <v>5.2220996999999993</v>
      </c>
      <c r="X49" s="140">
        <f>VLOOKUP($H49,'Material impact data'!$E$19:$AM$61,'Material impact data'!X$15,0)/VLOOKUP($H49,'Material impact data'!$E$19:$AM$61,4,0)*$I49</f>
        <v>1.1522942999999999</v>
      </c>
      <c r="Y49" s="140">
        <f>VLOOKUP($H49,'Material impact data'!$E$19:$AM$61,'Material impact data'!Y$15,0)/VLOOKUP($H49,'Material impact data'!$E$19:$AM$61,4,0)*$I49</f>
        <v>3.3038974439999997E-4</v>
      </c>
      <c r="Z49" s="185">
        <f>VLOOKUP($H49,'Material impact data'!$E$19:$AM$61,'Material impact data'!Z$15,0)/VLOOKUP($H49,'Material impact data'!$E$19:$AM$61,4,0)*$I49</f>
        <v>251.298225</v>
      </c>
      <c r="AA49" s="185">
        <f>VLOOKUP($H49,'Material impact data'!$E$19:$AM$61,'Material impact data'!AA$15,0)/VLOOKUP($H49,'Material impact data'!$E$19:$AM$61,4,0)*$I49</f>
        <v>3892.0578749999995</v>
      </c>
      <c r="AB49" s="185">
        <f>VLOOKUP($H49,'Material impact data'!$E$19:$AM$61,'Material impact data'!AB$15,0)/VLOOKUP($H49,'Material impact data'!$E$19:$AM$61,4,0)*$I49</f>
        <v>4.3762666499999999E-4</v>
      </c>
      <c r="AC49" s="185">
        <f>VLOOKUP($H49,'Material impact data'!$E$19:$AM$61,'Material impact data'!AC$15,0)/VLOOKUP($H49,'Material impact data'!$E$19:$AM$61,4,0)*$I49</f>
        <v>1.4710139999999998</v>
      </c>
      <c r="AD49" s="185">
        <f>VLOOKUP($H49,'Material impact data'!$E$19:$AM$61,'Material impact data'!AD$15,0)/VLOOKUP($H49,'Material impact data'!$E$19:$AM$61,4,0)*$I49</f>
        <v>0.25742745</v>
      </c>
      <c r="AE49" s="185">
        <f>VLOOKUP($H49,'Material impact data'!$E$19:$AM$61,'Material impact data'!AE$15,0)/VLOOKUP($H49,'Material impact data'!$E$19:$AM$61,4,0)*$I49</f>
        <v>5.5163024999999984E-2</v>
      </c>
      <c r="AF49" s="185">
        <f>VLOOKUP($H49,'Material impact data'!$E$19:$AM$61,'Material impact data'!AF$15,0)/VLOOKUP($H49,'Material impact data'!$E$19:$AM$61,4,0)*$I49</f>
        <v>4.8175708499999987E-5</v>
      </c>
      <c r="AG49" s="186">
        <f>VLOOKUP($H49,'Material impact data'!$E$19:$AM$61,'Material impact data'!AG$15,0)/VLOOKUP($H49,'Material impact data'!$E$19:$AM$61,4,0)*$I49</f>
        <v>5.1424197750000002E-4</v>
      </c>
      <c r="AH49" s="186">
        <f>VLOOKUP($H49,'Material impact data'!$E$19:$AM$61,'Material impact data'!AH$15,0)/VLOOKUP($H49,'Material impact data'!$E$19:$AM$61,4,0)*$I49</f>
        <v>6.1292249999999994E-3</v>
      </c>
      <c r="AI49" s="186">
        <f>VLOOKUP($H49,'Material impact data'!$E$19:$AM$61,'Material impact data'!AI$15,0)/VLOOKUP($H49,'Material impact data'!$E$19:$AM$61,4,0)*$I49</f>
        <v>1.9000597499999998E-8</v>
      </c>
      <c r="AJ49" s="186">
        <f>VLOOKUP($H49,'Material impact data'!$E$19:$AM$61,'Material impact data'!AJ$15,0)/VLOOKUP($H49,'Material impact data'!$E$19:$AM$61,4,0)*$I49</f>
        <v>2.2616840249999994E-6</v>
      </c>
      <c r="AK49" s="186">
        <f>VLOOKUP($H49,'Material impact data'!$E$19:$AM$61,'Material impact data'!AK$15,0)/VLOOKUP($H49,'Material impact data'!$E$19:$AM$61,4,0)*$I49</f>
        <v>9.2551297499999986E-6</v>
      </c>
      <c r="AL49" s="186">
        <f>VLOOKUP($H49,'Material impact data'!$E$19:$AM$61,'Material impact data'!AL$15,0)/VLOOKUP($H49,'Material impact data'!$E$19:$AM$61,4,0)*$I49</f>
        <v>4.3701374249999999E-7</v>
      </c>
      <c r="AM49" s="186">
        <f>VLOOKUP($H49,'Material impact data'!$E$19:$AM$61,'Material impact data'!AM$15,0)/VLOOKUP($H49,'Material impact data'!$E$19:$AM$61,4,0)*$I49</f>
        <v>3.3894614249999998E-11</v>
      </c>
      <c r="AO49" s="187">
        <f>M49/'Building &amp; Material inputs'!$C$18/'Building &amp; Material inputs'!$C$19</f>
        <v>0.75401463187325257</v>
      </c>
      <c r="AP49" s="187">
        <f>N49/'Building &amp; Material inputs'!$C$18/'Building &amp; Material inputs'!$C$19</f>
        <v>3.4249591390959928</v>
      </c>
      <c r="AQ49" s="139">
        <f>O49/'Building &amp; Material inputs'!$C$18/'Building &amp; Material inputs'!$C$19</f>
        <v>5.7122320596458519E-3</v>
      </c>
      <c r="AR49" s="139">
        <f>P49/'Building &amp; Material inputs'!$C$18/'Building &amp; Material inputs'!$C$19</f>
        <v>0.31226868592730667</v>
      </c>
      <c r="AS49" s="170">
        <f>Q49/'Building &amp; Material inputs'!$C$18/'Building &amp; Material inputs'!$C$19</f>
        <v>0</v>
      </c>
      <c r="AT49" s="170">
        <f>R49/'Building &amp; Material inputs'!$C$18/'Building &amp; Material inputs'!$C$19</f>
        <v>1.4280580149114632E-5</v>
      </c>
      <c r="AU49" s="187">
        <f>S49/'Building &amp; Material inputs'!$C$18/'Building &amp; Material inputs'!$C$19</f>
        <v>0.2508621912861137</v>
      </c>
      <c r="AV49" s="187">
        <f>T49/'Building &amp; Material inputs'!$C$18/'Building &amp; Material inputs'!$C$19</f>
        <v>3.1060261824324322</v>
      </c>
      <c r="AW49" s="187">
        <f>U49/'Building &amp; Material inputs'!$C$18/'Building &amp; Material inputs'!$C$19</f>
        <v>4.8520651153308478E-7</v>
      </c>
      <c r="AX49" s="187">
        <f>V49/'Building &amp; Material inputs'!$C$18/'Building &amp; Material inputs'!$C$19</f>
        <v>9.520386766076422E-4</v>
      </c>
      <c r="AY49" s="187">
        <f>W49/'Building &amp; Material inputs'!$C$18/'Building &amp; Material inputs'!$C$19</f>
        <v>4.0556847623485556E-4</v>
      </c>
      <c r="AZ49" s="187">
        <f>X49/'Building &amp; Material inputs'!$C$18/'Building &amp; Material inputs'!$C$19</f>
        <v>8.9491635601118355E-5</v>
      </c>
      <c r="BA49" s="187">
        <f>Y49/'Building &amp; Material inputs'!$C$18/'Building &amp; Material inputs'!$C$19</f>
        <v>2.5659346411929168E-8</v>
      </c>
      <c r="BB49" s="139">
        <f>Z49/'Building &amp; Material inputs'!$C$18/'Building &amp; Material inputs'!$C$19</f>
        <v>1.9516792870456667E-2</v>
      </c>
      <c r="BC49" s="139">
        <f>AA49/'Building &amp; Material inputs'!$C$18/'Building &amp; Material inputs'!$C$19</f>
        <v>0.30227227982292637</v>
      </c>
      <c r="BD49" s="139">
        <f>AB49/'Building &amp; Material inputs'!$C$18/'Building &amp; Material inputs'!$C$19</f>
        <v>3.3987780754892825E-8</v>
      </c>
      <c r="BE49" s="139">
        <f>AC49/'Building &amp; Material inputs'!$C$18/'Building &amp; Material inputs'!$C$19</f>
        <v>1.1424464119291705E-4</v>
      </c>
      <c r="BF49" s="139">
        <f>AD49/'Building &amp; Material inputs'!$C$18/'Building &amp; Material inputs'!$C$19</f>
        <v>1.9992812208760488E-5</v>
      </c>
      <c r="BG49" s="139">
        <f>AE49/'Building &amp; Material inputs'!$C$18/'Building &amp; Material inputs'!$C$19</f>
        <v>4.2841740447343884E-6</v>
      </c>
      <c r="BH49" s="139">
        <f>AF49/'Building &amp; Material inputs'!$C$18/'Building &amp; Material inputs'!$C$19</f>
        <v>3.7415119990680326E-9</v>
      </c>
      <c r="BI49" s="170">
        <f>AG49/'Building &amp; Material inputs'!$C$18/'Building &amp; Material inputs'!$C$19</f>
        <v>3.9938022483690591E-8</v>
      </c>
      <c r="BJ49" s="170">
        <f>AH49/'Building &amp; Material inputs'!$C$18/'Building &amp; Material inputs'!$C$19</f>
        <v>4.7601933830382106E-7</v>
      </c>
      <c r="BK49" s="170">
        <f>AI49/'Building &amp; Material inputs'!$C$18/'Building &amp; Material inputs'!$C$19</f>
        <v>1.4756599487418451E-12</v>
      </c>
      <c r="BL49" s="170">
        <f>AJ49/'Building &amp; Material inputs'!$C$18/'Building &amp; Material inputs'!$C$19</f>
        <v>1.7565113583410993E-10</v>
      </c>
      <c r="BM49" s="170">
        <f>AK49/'Building &amp; Material inputs'!$C$18/'Building &amp; Material inputs'!$C$19</f>
        <v>7.1878920083876984E-10</v>
      </c>
      <c r="BN49" s="170">
        <f>AL49/'Building &amp; Material inputs'!$C$18/'Building &amp; Material inputs'!$C$19</f>
        <v>3.3940178821062443E-11</v>
      </c>
      <c r="BO49" s="170">
        <f>AM49/'Building &amp; Material inputs'!$C$18/'Building &amp; Material inputs'!$C$19</f>
        <v>2.6323869408201305E-15</v>
      </c>
    </row>
    <row r="50" spans="2:67" x14ac:dyDescent="0.25">
      <c r="B50" s="334"/>
      <c r="C50" s="320"/>
      <c r="D50" s="305"/>
      <c r="E50" s="303" t="s">
        <v>461</v>
      </c>
      <c r="F50" s="65" t="s">
        <v>128</v>
      </c>
      <c r="G50" s="66" t="s">
        <v>19</v>
      </c>
      <c r="H50" s="7" t="str">
        <f>'Material quantities'!G51</f>
        <v>CON2</v>
      </c>
      <c r="I50" s="38">
        <f>'Material quantities'!O51</f>
        <v>0</v>
      </c>
      <c r="J50" s="68" t="s">
        <v>14</v>
      </c>
      <c r="K50" s="2"/>
      <c r="L50" s="144">
        <f>VLOOKUP($H50,'Material impact data'!$E$19:$AM$61,6,0)/VLOOKUP($H50,'Material impact data'!$E$19:$AM$61,4,0)*$I50</f>
        <v>0</v>
      </c>
      <c r="M50" s="140">
        <f>VLOOKUP($H50,'Material impact data'!$E$19:$AM$61,'Material impact data'!M$15,0)/VLOOKUP($H50,'Material impact data'!$E$19:$AM$61,4,0)*$I50</f>
        <v>0</v>
      </c>
      <c r="N50" s="140">
        <f>VLOOKUP($H50,'Material impact data'!$E$19:$AM$61,'Material impact data'!N$15,0)/VLOOKUP($H50,'Material impact data'!$E$19:$AM$61,4,0)*$I50</f>
        <v>0</v>
      </c>
      <c r="O50" s="185">
        <f>VLOOKUP($H50,'Material impact data'!$E$19:$AM$61,'Material impact data'!O$15,0)/VLOOKUP($H50,'Material impact data'!$E$19:$AM$61,4,0)*$I50</f>
        <v>0</v>
      </c>
      <c r="P50" s="185">
        <f>VLOOKUP($H50,'Material impact data'!$E$19:$AM$61,'Material impact data'!P$15,0)/VLOOKUP($H50,'Material impact data'!$E$19:$AM$61,4,0)*$I50</f>
        <v>0</v>
      </c>
      <c r="Q50" s="186">
        <f>VLOOKUP($H50,'Material impact data'!$E$19:$AM$61,'Material impact data'!Q$15,0)/VLOOKUP($H50,'Material impact data'!$E$19:$AM$61,4,0)*$I50</f>
        <v>0</v>
      </c>
      <c r="R50" s="186">
        <f>VLOOKUP($H50,'Material impact data'!$E$19:$AM$61,'Material impact data'!R$15,0)/VLOOKUP($H50,'Material impact data'!$E$19:$AM$61,4,0)*$I50</f>
        <v>0</v>
      </c>
      <c r="S50" s="140">
        <f>VLOOKUP($H50,'Material impact data'!$E$19:$AM$61,'Material impact data'!S$15,0)/VLOOKUP($H50,'Material impact data'!$E$19:$AM$61,4,0)*$I50</f>
        <v>0</v>
      </c>
      <c r="T50" s="140">
        <f>VLOOKUP($H50,'Material impact data'!$E$19:$AM$61,'Material impact data'!T$15,0)/VLOOKUP($H50,'Material impact data'!$E$19:$AM$61,4,0)*$I50</f>
        <v>0</v>
      </c>
      <c r="U50" s="140">
        <f>VLOOKUP($H50,'Material impact data'!$E$19:$AM$61,'Material impact data'!U$15,0)/VLOOKUP($H50,'Material impact data'!$E$19:$AM$61,4,0)*$I50</f>
        <v>0</v>
      </c>
      <c r="V50" s="140">
        <f>VLOOKUP($H50,'Material impact data'!$E$19:$AM$61,'Material impact data'!V$15,0)/VLOOKUP($H50,'Material impact data'!$E$19:$AM$61,4,0)*$I50</f>
        <v>0</v>
      </c>
      <c r="W50" s="140">
        <f>VLOOKUP($H50,'Material impact data'!$E$19:$AM$61,'Material impact data'!W$15,0)/VLOOKUP($H50,'Material impact data'!$E$19:$AM$61,4,0)*$I50</f>
        <v>0</v>
      </c>
      <c r="X50" s="140">
        <f>VLOOKUP($H50,'Material impact data'!$E$19:$AM$61,'Material impact data'!X$15,0)/VLOOKUP($H50,'Material impact data'!$E$19:$AM$61,4,0)*$I50</f>
        <v>0</v>
      </c>
      <c r="Y50" s="140">
        <f>VLOOKUP($H50,'Material impact data'!$E$19:$AM$61,'Material impact data'!Y$15,0)/VLOOKUP($H50,'Material impact data'!$E$19:$AM$61,4,0)*$I50</f>
        <v>0</v>
      </c>
      <c r="Z50" s="185">
        <f>VLOOKUP($H50,'Material impact data'!$E$19:$AM$61,'Material impact data'!Z$15,0)/VLOOKUP($H50,'Material impact data'!$E$19:$AM$61,4,0)*$I50</f>
        <v>0</v>
      </c>
      <c r="AA50" s="185">
        <f>VLOOKUP($H50,'Material impact data'!$E$19:$AM$61,'Material impact data'!AA$15,0)/VLOOKUP($H50,'Material impact data'!$E$19:$AM$61,4,0)*$I50</f>
        <v>0</v>
      </c>
      <c r="AB50" s="185">
        <f>VLOOKUP($H50,'Material impact data'!$E$19:$AM$61,'Material impact data'!AB$15,0)/VLOOKUP($H50,'Material impact data'!$E$19:$AM$61,4,0)*$I50</f>
        <v>0</v>
      </c>
      <c r="AC50" s="185">
        <f>VLOOKUP($H50,'Material impact data'!$E$19:$AM$61,'Material impact data'!AC$15,0)/VLOOKUP($H50,'Material impact data'!$E$19:$AM$61,4,0)*$I50</f>
        <v>0</v>
      </c>
      <c r="AD50" s="185">
        <f>VLOOKUP($H50,'Material impact data'!$E$19:$AM$61,'Material impact data'!AD$15,0)/VLOOKUP($H50,'Material impact data'!$E$19:$AM$61,4,0)*$I50</f>
        <v>0</v>
      </c>
      <c r="AE50" s="185">
        <f>VLOOKUP($H50,'Material impact data'!$E$19:$AM$61,'Material impact data'!AE$15,0)/VLOOKUP($H50,'Material impact data'!$E$19:$AM$61,4,0)*$I50</f>
        <v>0</v>
      </c>
      <c r="AF50" s="185">
        <f>VLOOKUP($H50,'Material impact data'!$E$19:$AM$61,'Material impact data'!AF$15,0)/VLOOKUP($H50,'Material impact data'!$E$19:$AM$61,4,0)*$I50</f>
        <v>0</v>
      </c>
      <c r="AG50" s="186">
        <f>VLOOKUP($H50,'Material impact data'!$E$19:$AM$61,'Material impact data'!AG$15,0)/VLOOKUP($H50,'Material impact data'!$E$19:$AM$61,4,0)*$I50</f>
        <v>0</v>
      </c>
      <c r="AH50" s="186">
        <f>VLOOKUP($H50,'Material impact data'!$E$19:$AM$61,'Material impact data'!AH$15,0)/VLOOKUP($H50,'Material impact data'!$E$19:$AM$61,4,0)*$I50</f>
        <v>0</v>
      </c>
      <c r="AI50" s="186">
        <f>VLOOKUP($H50,'Material impact data'!$E$19:$AM$61,'Material impact data'!AI$15,0)/VLOOKUP($H50,'Material impact data'!$E$19:$AM$61,4,0)*$I50</f>
        <v>0</v>
      </c>
      <c r="AJ50" s="186">
        <f>VLOOKUP($H50,'Material impact data'!$E$19:$AM$61,'Material impact data'!AJ$15,0)/VLOOKUP($H50,'Material impact data'!$E$19:$AM$61,4,0)*$I50</f>
        <v>0</v>
      </c>
      <c r="AK50" s="186">
        <f>VLOOKUP($H50,'Material impact data'!$E$19:$AM$61,'Material impact data'!AK$15,0)/VLOOKUP($H50,'Material impact data'!$E$19:$AM$61,4,0)*$I50</f>
        <v>0</v>
      </c>
      <c r="AL50" s="186">
        <f>VLOOKUP($H50,'Material impact data'!$E$19:$AM$61,'Material impact data'!AL$15,0)/VLOOKUP($H50,'Material impact data'!$E$19:$AM$61,4,0)*$I50</f>
        <v>0</v>
      </c>
      <c r="AM50" s="186">
        <f>VLOOKUP($H50,'Material impact data'!$E$19:$AM$61,'Material impact data'!AM$15,0)/VLOOKUP($H50,'Material impact data'!$E$19:$AM$61,4,0)*$I50</f>
        <v>0</v>
      </c>
      <c r="AO50" s="187">
        <f>M50/'Building &amp; Material inputs'!$C$18/'Building &amp; Material inputs'!$C$19</f>
        <v>0</v>
      </c>
      <c r="AP50" s="187">
        <f>N50/'Building &amp; Material inputs'!$C$18/'Building &amp; Material inputs'!$C$19</f>
        <v>0</v>
      </c>
      <c r="AQ50" s="139">
        <f>O50/'Building &amp; Material inputs'!$C$18/'Building &amp; Material inputs'!$C$19</f>
        <v>0</v>
      </c>
      <c r="AR50" s="139">
        <f>P50/'Building &amp; Material inputs'!$C$18/'Building &amp; Material inputs'!$C$19</f>
        <v>0</v>
      </c>
      <c r="AS50" s="170">
        <f>Q50/'Building &amp; Material inputs'!$C$18/'Building &amp; Material inputs'!$C$19</f>
        <v>0</v>
      </c>
      <c r="AT50" s="170">
        <f>R50/'Building &amp; Material inputs'!$C$18/'Building &amp; Material inputs'!$C$19</f>
        <v>0</v>
      </c>
      <c r="AU50" s="187">
        <f>S50/'Building &amp; Material inputs'!$C$18/'Building &amp; Material inputs'!$C$19</f>
        <v>0</v>
      </c>
      <c r="AV50" s="187">
        <f>T50/'Building &amp; Material inputs'!$C$18/'Building &amp; Material inputs'!$C$19</f>
        <v>0</v>
      </c>
      <c r="AW50" s="187">
        <f>U50/'Building &amp; Material inputs'!$C$18/'Building &amp; Material inputs'!$C$19</f>
        <v>0</v>
      </c>
      <c r="AX50" s="187">
        <f>V50/'Building &amp; Material inputs'!$C$18/'Building &amp; Material inputs'!$C$19</f>
        <v>0</v>
      </c>
      <c r="AY50" s="187">
        <f>W50/'Building &amp; Material inputs'!$C$18/'Building &amp; Material inputs'!$C$19</f>
        <v>0</v>
      </c>
      <c r="AZ50" s="187">
        <f>X50/'Building &amp; Material inputs'!$C$18/'Building &amp; Material inputs'!$C$19</f>
        <v>0</v>
      </c>
      <c r="BA50" s="187">
        <f>Y50/'Building &amp; Material inputs'!$C$18/'Building &amp; Material inputs'!$C$19</f>
        <v>0</v>
      </c>
      <c r="BB50" s="139">
        <f>Z50/'Building &amp; Material inputs'!$C$18/'Building &amp; Material inputs'!$C$19</f>
        <v>0</v>
      </c>
      <c r="BC50" s="139">
        <f>AA50/'Building &amp; Material inputs'!$C$18/'Building &amp; Material inputs'!$C$19</f>
        <v>0</v>
      </c>
      <c r="BD50" s="139">
        <f>AB50/'Building &amp; Material inputs'!$C$18/'Building &amp; Material inputs'!$C$19</f>
        <v>0</v>
      </c>
      <c r="BE50" s="139">
        <f>AC50/'Building &amp; Material inputs'!$C$18/'Building &amp; Material inputs'!$C$19</f>
        <v>0</v>
      </c>
      <c r="BF50" s="139">
        <f>AD50/'Building &amp; Material inputs'!$C$18/'Building &amp; Material inputs'!$C$19</f>
        <v>0</v>
      </c>
      <c r="BG50" s="139">
        <f>AE50/'Building &amp; Material inputs'!$C$18/'Building &amp; Material inputs'!$C$19</f>
        <v>0</v>
      </c>
      <c r="BH50" s="139">
        <f>AF50/'Building &amp; Material inputs'!$C$18/'Building &amp; Material inputs'!$C$19</f>
        <v>0</v>
      </c>
      <c r="BI50" s="170">
        <f>AG50/'Building &amp; Material inputs'!$C$18/'Building &amp; Material inputs'!$C$19</f>
        <v>0</v>
      </c>
      <c r="BJ50" s="170">
        <f>AH50/'Building &amp; Material inputs'!$C$18/'Building &amp; Material inputs'!$C$19</f>
        <v>0</v>
      </c>
      <c r="BK50" s="170">
        <f>AI50/'Building &amp; Material inputs'!$C$18/'Building &amp; Material inputs'!$C$19</f>
        <v>0</v>
      </c>
      <c r="BL50" s="170">
        <f>AJ50/'Building &amp; Material inputs'!$C$18/'Building &amp; Material inputs'!$C$19</f>
        <v>0</v>
      </c>
      <c r="BM50" s="170">
        <f>AK50/'Building &amp; Material inputs'!$C$18/'Building &amp; Material inputs'!$C$19</f>
        <v>0</v>
      </c>
      <c r="BN50" s="170">
        <f>AL50/'Building &amp; Material inputs'!$C$18/'Building &amp; Material inputs'!$C$19</f>
        <v>0</v>
      </c>
      <c r="BO50" s="170">
        <f>AM50/'Building &amp; Material inputs'!$C$18/'Building &amp; Material inputs'!$C$19</f>
        <v>0</v>
      </c>
    </row>
    <row r="51" spans="2:67" x14ac:dyDescent="0.25">
      <c r="B51" s="334"/>
      <c r="C51" s="320"/>
      <c r="D51" s="305"/>
      <c r="E51" s="303"/>
      <c r="F51" s="65" t="s">
        <v>129</v>
      </c>
      <c r="G51" s="66" t="s">
        <v>20</v>
      </c>
      <c r="H51" s="7" t="str">
        <f>'Material quantities'!G52</f>
        <v>REB</v>
      </c>
      <c r="I51" s="38">
        <f>'Material quantities'!O52</f>
        <v>0</v>
      </c>
      <c r="J51" s="68" t="s">
        <v>15</v>
      </c>
      <c r="K51" s="2"/>
      <c r="L51" s="144">
        <f>VLOOKUP($H51,'Material impact data'!$E$19:$AM$61,6,0)/VLOOKUP($H51,'Material impact data'!$E$19:$AM$61,4,0)*$I51</f>
        <v>0</v>
      </c>
      <c r="M51" s="140">
        <f>VLOOKUP($H51,'Material impact data'!$E$19:$AM$61,'Material impact data'!M$15,0)/VLOOKUP($H51,'Material impact data'!$E$19:$AM$61,4,0)*$I51</f>
        <v>0</v>
      </c>
      <c r="N51" s="140">
        <f>VLOOKUP($H51,'Material impact data'!$E$19:$AM$61,'Material impact data'!N$15,0)/VLOOKUP($H51,'Material impact data'!$E$19:$AM$61,4,0)*$I51</f>
        <v>0</v>
      </c>
      <c r="O51" s="185">
        <f>VLOOKUP($H51,'Material impact data'!$E$19:$AM$61,'Material impact data'!O$15,0)/VLOOKUP($H51,'Material impact data'!$E$19:$AM$61,4,0)*$I51</f>
        <v>0</v>
      </c>
      <c r="P51" s="185">
        <f>VLOOKUP($H51,'Material impact data'!$E$19:$AM$61,'Material impact data'!P$15,0)/VLOOKUP($H51,'Material impact data'!$E$19:$AM$61,4,0)*$I51</f>
        <v>0</v>
      </c>
      <c r="Q51" s="186">
        <f>VLOOKUP($H51,'Material impact data'!$E$19:$AM$61,'Material impact data'!Q$15,0)/VLOOKUP($H51,'Material impact data'!$E$19:$AM$61,4,0)*$I51</f>
        <v>0</v>
      </c>
      <c r="R51" s="186">
        <f>VLOOKUP($H51,'Material impact data'!$E$19:$AM$61,'Material impact data'!R$15,0)/VLOOKUP($H51,'Material impact data'!$E$19:$AM$61,4,0)*$I51</f>
        <v>0</v>
      </c>
      <c r="S51" s="140">
        <f>VLOOKUP($H51,'Material impact data'!$E$19:$AM$61,'Material impact data'!S$15,0)/VLOOKUP($H51,'Material impact data'!$E$19:$AM$61,4,0)*$I51</f>
        <v>0</v>
      </c>
      <c r="T51" s="140">
        <f>VLOOKUP($H51,'Material impact data'!$E$19:$AM$61,'Material impact data'!T$15,0)/VLOOKUP($H51,'Material impact data'!$E$19:$AM$61,4,0)*$I51</f>
        <v>0</v>
      </c>
      <c r="U51" s="140">
        <f>VLOOKUP($H51,'Material impact data'!$E$19:$AM$61,'Material impact data'!U$15,0)/VLOOKUP($H51,'Material impact data'!$E$19:$AM$61,4,0)*$I51</f>
        <v>0</v>
      </c>
      <c r="V51" s="140">
        <f>VLOOKUP($H51,'Material impact data'!$E$19:$AM$61,'Material impact data'!V$15,0)/VLOOKUP($H51,'Material impact data'!$E$19:$AM$61,4,0)*$I51</f>
        <v>0</v>
      </c>
      <c r="W51" s="140">
        <f>VLOOKUP($H51,'Material impact data'!$E$19:$AM$61,'Material impact data'!W$15,0)/VLOOKUP($H51,'Material impact data'!$E$19:$AM$61,4,0)*$I51</f>
        <v>0</v>
      </c>
      <c r="X51" s="140">
        <f>VLOOKUP($H51,'Material impact data'!$E$19:$AM$61,'Material impact data'!X$15,0)/VLOOKUP($H51,'Material impact data'!$E$19:$AM$61,4,0)*$I51</f>
        <v>0</v>
      </c>
      <c r="Y51" s="140">
        <f>VLOOKUP($H51,'Material impact data'!$E$19:$AM$61,'Material impact data'!Y$15,0)/VLOOKUP($H51,'Material impact data'!$E$19:$AM$61,4,0)*$I51</f>
        <v>0</v>
      </c>
      <c r="Z51" s="185">
        <f>VLOOKUP($H51,'Material impact data'!$E$19:$AM$61,'Material impact data'!Z$15,0)/VLOOKUP($H51,'Material impact data'!$E$19:$AM$61,4,0)*$I51</f>
        <v>0</v>
      </c>
      <c r="AA51" s="185">
        <f>VLOOKUP($H51,'Material impact data'!$E$19:$AM$61,'Material impact data'!AA$15,0)/VLOOKUP($H51,'Material impact data'!$E$19:$AM$61,4,0)*$I51</f>
        <v>0</v>
      </c>
      <c r="AB51" s="185">
        <f>VLOOKUP($H51,'Material impact data'!$E$19:$AM$61,'Material impact data'!AB$15,0)/VLOOKUP($H51,'Material impact data'!$E$19:$AM$61,4,0)*$I51</f>
        <v>0</v>
      </c>
      <c r="AC51" s="185">
        <f>VLOOKUP($H51,'Material impact data'!$E$19:$AM$61,'Material impact data'!AC$15,0)/VLOOKUP($H51,'Material impact data'!$E$19:$AM$61,4,0)*$I51</f>
        <v>0</v>
      </c>
      <c r="AD51" s="185">
        <f>VLOOKUP($H51,'Material impact data'!$E$19:$AM$61,'Material impact data'!AD$15,0)/VLOOKUP($H51,'Material impact data'!$E$19:$AM$61,4,0)*$I51</f>
        <v>0</v>
      </c>
      <c r="AE51" s="185">
        <f>VLOOKUP($H51,'Material impact data'!$E$19:$AM$61,'Material impact data'!AE$15,0)/VLOOKUP($H51,'Material impact data'!$E$19:$AM$61,4,0)*$I51</f>
        <v>0</v>
      </c>
      <c r="AF51" s="185">
        <f>VLOOKUP($H51,'Material impact data'!$E$19:$AM$61,'Material impact data'!AF$15,0)/VLOOKUP($H51,'Material impact data'!$E$19:$AM$61,4,0)*$I51</f>
        <v>0</v>
      </c>
      <c r="AG51" s="186">
        <f>VLOOKUP($H51,'Material impact data'!$E$19:$AM$61,'Material impact data'!AG$15,0)/VLOOKUP($H51,'Material impact data'!$E$19:$AM$61,4,0)*$I51</f>
        <v>0</v>
      </c>
      <c r="AH51" s="186">
        <f>VLOOKUP($H51,'Material impact data'!$E$19:$AM$61,'Material impact data'!AH$15,0)/VLOOKUP($H51,'Material impact data'!$E$19:$AM$61,4,0)*$I51</f>
        <v>0</v>
      </c>
      <c r="AI51" s="186">
        <f>VLOOKUP($H51,'Material impact data'!$E$19:$AM$61,'Material impact data'!AI$15,0)/VLOOKUP($H51,'Material impact data'!$E$19:$AM$61,4,0)*$I51</f>
        <v>0</v>
      </c>
      <c r="AJ51" s="186">
        <f>VLOOKUP($H51,'Material impact data'!$E$19:$AM$61,'Material impact data'!AJ$15,0)/VLOOKUP($H51,'Material impact data'!$E$19:$AM$61,4,0)*$I51</f>
        <v>0</v>
      </c>
      <c r="AK51" s="186">
        <f>VLOOKUP($H51,'Material impact data'!$E$19:$AM$61,'Material impact data'!AK$15,0)/VLOOKUP($H51,'Material impact data'!$E$19:$AM$61,4,0)*$I51</f>
        <v>0</v>
      </c>
      <c r="AL51" s="186">
        <f>VLOOKUP($H51,'Material impact data'!$E$19:$AM$61,'Material impact data'!AL$15,0)/VLOOKUP($H51,'Material impact data'!$E$19:$AM$61,4,0)*$I51</f>
        <v>0</v>
      </c>
      <c r="AM51" s="186">
        <f>VLOOKUP($H51,'Material impact data'!$E$19:$AM$61,'Material impact data'!AM$15,0)/VLOOKUP($H51,'Material impact data'!$E$19:$AM$61,4,0)*$I51</f>
        <v>0</v>
      </c>
      <c r="AO51" s="187">
        <f>M51/'Building &amp; Material inputs'!$C$18/'Building &amp; Material inputs'!$C$19</f>
        <v>0</v>
      </c>
      <c r="AP51" s="187">
        <f>N51/'Building &amp; Material inputs'!$C$18/'Building &amp; Material inputs'!$C$19</f>
        <v>0</v>
      </c>
      <c r="AQ51" s="139">
        <f>O51/'Building &amp; Material inputs'!$C$18/'Building &amp; Material inputs'!$C$19</f>
        <v>0</v>
      </c>
      <c r="AR51" s="139">
        <f>P51/'Building &amp; Material inputs'!$C$18/'Building &amp; Material inputs'!$C$19</f>
        <v>0</v>
      </c>
      <c r="AS51" s="170">
        <f>Q51/'Building &amp; Material inputs'!$C$18/'Building &amp; Material inputs'!$C$19</f>
        <v>0</v>
      </c>
      <c r="AT51" s="170">
        <f>R51/'Building &amp; Material inputs'!$C$18/'Building &amp; Material inputs'!$C$19</f>
        <v>0</v>
      </c>
      <c r="AU51" s="187">
        <f>S51/'Building &amp; Material inputs'!$C$18/'Building &amp; Material inputs'!$C$19</f>
        <v>0</v>
      </c>
      <c r="AV51" s="187">
        <f>T51/'Building &amp; Material inputs'!$C$18/'Building &amp; Material inputs'!$C$19</f>
        <v>0</v>
      </c>
      <c r="AW51" s="187">
        <f>U51/'Building &amp; Material inputs'!$C$18/'Building &amp; Material inputs'!$C$19</f>
        <v>0</v>
      </c>
      <c r="AX51" s="187">
        <f>V51/'Building &amp; Material inputs'!$C$18/'Building &amp; Material inputs'!$C$19</f>
        <v>0</v>
      </c>
      <c r="AY51" s="187">
        <f>W51/'Building &amp; Material inputs'!$C$18/'Building &amp; Material inputs'!$C$19</f>
        <v>0</v>
      </c>
      <c r="AZ51" s="187">
        <f>X51/'Building &amp; Material inputs'!$C$18/'Building &amp; Material inputs'!$C$19</f>
        <v>0</v>
      </c>
      <c r="BA51" s="187">
        <f>Y51/'Building &amp; Material inputs'!$C$18/'Building &amp; Material inputs'!$C$19</f>
        <v>0</v>
      </c>
      <c r="BB51" s="139">
        <f>Z51/'Building &amp; Material inputs'!$C$18/'Building &amp; Material inputs'!$C$19</f>
        <v>0</v>
      </c>
      <c r="BC51" s="139">
        <f>AA51/'Building &amp; Material inputs'!$C$18/'Building &amp; Material inputs'!$C$19</f>
        <v>0</v>
      </c>
      <c r="BD51" s="139">
        <f>AB51/'Building &amp; Material inputs'!$C$18/'Building &amp; Material inputs'!$C$19</f>
        <v>0</v>
      </c>
      <c r="BE51" s="139">
        <f>AC51/'Building &amp; Material inputs'!$C$18/'Building &amp; Material inputs'!$C$19</f>
        <v>0</v>
      </c>
      <c r="BF51" s="139">
        <f>AD51/'Building &amp; Material inputs'!$C$18/'Building &amp; Material inputs'!$C$19</f>
        <v>0</v>
      </c>
      <c r="BG51" s="139">
        <f>AE51/'Building &amp; Material inputs'!$C$18/'Building &amp; Material inputs'!$C$19</f>
        <v>0</v>
      </c>
      <c r="BH51" s="139">
        <f>AF51/'Building &amp; Material inputs'!$C$18/'Building &amp; Material inputs'!$C$19</f>
        <v>0</v>
      </c>
      <c r="BI51" s="170">
        <f>AG51/'Building &amp; Material inputs'!$C$18/'Building &amp; Material inputs'!$C$19</f>
        <v>0</v>
      </c>
      <c r="BJ51" s="170">
        <f>AH51/'Building &amp; Material inputs'!$C$18/'Building &amp; Material inputs'!$C$19</f>
        <v>0</v>
      </c>
      <c r="BK51" s="170">
        <f>AI51/'Building &amp; Material inputs'!$C$18/'Building &amp; Material inputs'!$C$19</f>
        <v>0</v>
      </c>
      <c r="BL51" s="170">
        <f>AJ51/'Building &amp; Material inputs'!$C$18/'Building &amp; Material inputs'!$C$19</f>
        <v>0</v>
      </c>
      <c r="BM51" s="170">
        <f>AK51/'Building &amp; Material inputs'!$C$18/'Building &amp; Material inputs'!$C$19</f>
        <v>0</v>
      </c>
      <c r="BN51" s="170">
        <f>AL51/'Building &amp; Material inputs'!$C$18/'Building &amp; Material inputs'!$C$19</f>
        <v>0</v>
      </c>
      <c r="BO51" s="170">
        <f>AM51/'Building &amp; Material inputs'!$C$18/'Building &amp; Material inputs'!$C$19</f>
        <v>0</v>
      </c>
    </row>
    <row r="52" spans="2:67" x14ac:dyDescent="0.25">
      <c r="B52" s="334"/>
      <c r="C52" s="320"/>
      <c r="D52" s="305"/>
      <c r="E52" s="303"/>
      <c r="F52" s="65" t="s">
        <v>130</v>
      </c>
      <c r="G52" s="66" t="s">
        <v>50</v>
      </c>
      <c r="H52" s="7" t="str">
        <f>'Material quantities'!G53</f>
        <v>ST-G</v>
      </c>
      <c r="I52" s="38">
        <f>'Material quantities'!O53</f>
        <v>0</v>
      </c>
      <c r="J52" s="68" t="s">
        <v>15</v>
      </c>
      <c r="K52" s="2"/>
      <c r="L52" s="144">
        <f>VLOOKUP($H52,'Material impact data'!$E$19:$AM$61,6,0)/VLOOKUP($H52,'Material impact data'!$E$19:$AM$61,4,0)*$I52</f>
        <v>0</v>
      </c>
      <c r="M52" s="140">
        <f>VLOOKUP($H52,'Material impact data'!$E$19:$AM$61,'Material impact data'!M$15,0)/VLOOKUP($H52,'Material impact data'!$E$19:$AM$61,4,0)*$I52</f>
        <v>0</v>
      </c>
      <c r="N52" s="140">
        <f>VLOOKUP($H52,'Material impact data'!$E$19:$AM$61,'Material impact data'!N$15,0)/VLOOKUP($H52,'Material impact data'!$E$19:$AM$61,4,0)*$I52</f>
        <v>0</v>
      </c>
      <c r="O52" s="185">
        <f>VLOOKUP($H52,'Material impact data'!$E$19:$AM$61,'Material impact data'!O$15,0)/VLOOKUP($H52,'Material impact data'!$E$19:$AM$61,4,0)*$I52</f>
        <v>0</v>
      </c>
      <c r="P52" s="185">
        <f>VLOOKUP($H52,'Material impact data'!$E$19:$AM$61,'Material impact data'!P$15,0)/VLOOKUP($H52,'Material impact data'!$E$19:$AM$61,4,0)*$I52</f>
        <v>0</v>
      </c>
      <c r="Q52" s="186">
        <f>VLOOKUP($H52,'Material impact data'!$E$19:$AM$61,'Material impact data'!Q$15,0)/VLOOKUP($H52,'Material impact data'!$E$19:$AM$61,4,0)*$I52</f>
        <v>0</v>
      </c>
      <c r="R52" s="186">
        <f>VLOOKUP($H52,'Material impact data'!$E$19:$AM$61,'Material impact data'!R$15,0)/VLOOKUP($H52,'Material impact data'!$E$19:$AM$61,4,0)*$I52</f>
        <v>0</v>
      </c>
      <c r="S52" s="140">
        <f>VLOOKUP($H52,'Material impact data'!$E$19:$AM$61,'Material impact data'!S$15,0)/VLOOKUP($H52,'Material impact data'!$E$19:$AM$61,4,0)*$I52</f>
        <v>0</v>
      </c>
      <c r="T52" s="140">
        <f>VLOOKUP($H52,'Material impact data'!$E$19:$AM$61,'Material impact data'!T$15,0)/VLOOKUP($H52,'Material impact data'!$E$19:$AM$61,4,0)*$I52</f>
        <v>0</v>
      </c>
      <c r="U52" s="140">
        <f>VLOOKUP($H52,'Material impact data'!$E$19:$AM$61,'Material impact data'!U$15,0)/VLOOKUP($H52,'Material impact data'!$E$19:$AM$61,4,0)*$I52</f>
        <v>0</v>
      </c>
      <c r="V52" s="140">
        <f>VLOOKUP($H52,'Material impact data'!$E$19:$AM$61,'Material impact data'!V$15,0)/VLOOKUP($H52,'Material impact data'!$E$19:$AM$61,4,0)*$I52</f>
        <v>0</v>
      </c>
      <c r="W52" s="140">
        <f>VLOOKUP($H52,'Material impact data'!$E$19:$AM$61,'Material impact data'!W$15,0)/VLOOKUP($H52,'Material impact data'!$E$19:$AM$61,4,0)*$I52</f>
        <v>0</v>
      </c>
      <c r="X52" s="140">
        <f>VLOOKUP($H52,'Material impact data'!$E$19:$AM$61,'Material impact data'!X$15,0)/VLOOKUP($H52,'Material impact data'!$E$19:$AM$61,4,0)*$I52</f>
        <v>0</v>
      </c>
      <c r="Y52" s="140">
        <f>VLOOKUP($H52,'Material impact data'!$E$19:$AM$61,'Material impact data'!Y$15,0)/VLOOKUP($H52,'Material impact data'!$E$19:$AM$61,4,0)*$I52</f>
        <v>0</v>
      </c>
      <c r="Z52" s="185">
        <f>VLOOKUP($H52,'Material impact data'!$E$19:$AM$61,'Material impact data'!Z$15,0)/VLOOKUP($H52,'Material impact data'!$E$19:$AM$61,4,0)*$I52</f>
        <v>0</v>
      </c>
      <c r="AA52" s="185">
        <f>VLOOKUP($H52,'Material impact data'!$E$19:$AM$61,'Material impact data'!AA$15,0)/VLOOKUP($H52,'Material impact data'!$E$19:$AM$61,4,0)*$I52</f>
        <v>0</v>
      </c>
      <c r="AB52" s="185">
        <f>VLOOKUP($H52,'Material impact data'!$E$19:$AM$61,'Material impact data'!AB$15,0)/VLOOKUP($H52,'Material impact data'!$E$19:$AM$61,4,0)*$I52</f>
        <v>0</v>
      </c>
      <c r="AC52" s="185">
        <f>VLOOKUP($H52,'Material impact data'!$E$19:$AM$61,'Material impact data'!AC$15,0)/VLOOKUP($H52,'Material impact data'!$E$19:$AM$61,4,0)*$I52</f>
        <v>0</v>
      </c>
      <c r="AD52" s="185">
        <f>VLOOKUP($H52,'Material impact data'!$E$19:$AM$61,'Material impact data'!AD$15,0)/VLOOKUP($H52,'Material impact data'!$E$19:$AM$61,4,0)*$I52</f>
        <v>0</v>
      </c>
      <c r="AE52" s="185">
        <f>VLOOKUP($H52,'Material impact data'!$E$19:$AM$61,'Material impact data'!AE$15,0)/VLOOKUP($H52,'Material impact data'!$E$19:$AM$61,4,0)*$I52</f>
        <v>0</v>
      </c>
      <c r="AF52" s="185">
        <f>VLOOKUP($H52,'Material impact data'!$E$19:$AM$61,'Material impact data'!AF$15,0)/VLOOKUP($H52,'Material impact data'!$E$19:$AM$61,4,0)*$I52</f>
        <v>0</v>
      </c>
      <c r="AG52" s="186">
        <f>VLOOKUP($H52,'Material impact data'!$E$19:$AM$61,'Material impact data'!AG$15,0)/VLOOKUP($H52,'Material impact data'!$E$19:$AM$61,4,0)*$I52</f>
        <v>0</v>
      </c>
      <c r="AH52" s="186">
        <f>VLOOKUP($H52,'Material impact data'!$E$19:$AM$61,'Material impact data'!AH$15,0)/VLOOKUP($H52,'Material impact data'!$E$19:$AM$61,4,0)*$I52</f>
        <v>0</v>
      </c>
      <c r="AI52" s="186">
        <f>VLOOKUP($H52,'Material impact data'!$E$19:$AM$61,'Material impact data'!AI$15,0)/VLOOKUP($H52,'Material impact data'!$E$19:$AM$61,4,0)*$I52</f>
        <v>0</v>
      </c>
      <c r="AJ52" s="186">
        <f>VLOOKUP($H52,'Material impact data'!$E$19:$AM$61,'Material impact data'!AJ$15,0)/VLOOKUP($H52,'Material impact data'!$E$19:$AM$61,4,0)*$I52</f>
        <v>0</v>
      </c>
      <c r="AK52" s="186">
        <f>VLOOKUP($H52,'Material impact data'!$E$19:$AM$61,'Material impact data'!AK$15,0)/VLOOKUP($H52,'Material impact data'!$E$19:$AM$61,4,0)*$I52</f>
        <v>0</v>
      </c>
      <c r="AL52" s="186">
        <f>VLOOKUP($H52,'Material impact data'!$E$19:$AM$61,'Material impact data'!AL$15,0)/VLOOKUP($H52,'Material impact data'!$E$19:$AM$61,4,0)*$I52</f>
        <v>0</v>
      </c>
      <c r="AM52" s="186">
        <f>VLOOKUP($H52,'Material impact data'!$E$19:$AM$61,'Material impact data'!AM$15,0)/VLOOKUP($H52,'Material impact data'!$E$19:$AM$61,4,0)*$I52</f>
        <v>0</v>
      </c>
      <c r="AO52" s="187">
        <f>M52/'Building &amp; Material inputs'!$C$18/'Building &amp; Material inputs'!$C$19</f>
        <v>0</v>
      </c>
      <c r="AP52" s="187">
        <f>N52/'Building &amp; Material inputs'!$C$18/'Building &amp; Material inputs'!$C$19</f>
        <v>0</v>
      </c>
      <c r="AQ52" s="139">
        <f>O52/'Building &amp; Material inputs'!$C$18/'Building &amp; Material inputs'!$C$19</f>
        <v>0</v>
      </c>
      <c r="AR52" s="139">
        <f>P52/'Building &amp; Material inputs'!$C$18/'Building &amp; Material inputs'!$C$19</f>
        <v>0</v>
      </c>
      <c r="AS52" s="170">
        <f>Q52/'Building &amp; Material inputs'!$C$18/'Building &amp; Material inputs'!$C$19</f>
        <v>0</v>
      </c>
      <c r="AT52" s="170">
        <f>R52/'Building &amp; Material inputs'!$C$18/'Building &amp; Material inputs'!$C$19</f>
        <v>0</v>
      </c>
      <c r="AU52" s="187">
        <f>S52/'Building &amp; Material inputs'!$C$18/'Building &amp; Material inputs'!$C$19</f>
        <v>0</v>
      </c>
      <c r="AV52" s="187">
        <f>T52/'Building &amp; Material inputs'!$C$18/'Building &amp; Material inputs'!$C$19</f>
        <v>0</v>
      </c>
      <c r="AW52" s="187">
        <f>U52/'Building &amp; Material inputs'!$C$18/'Building &amp; Material inputs'!$C$19</f>
        <v>0</v>
      </c>
      <c r="AX52" s="187">
        <f>V52/'Building &amp; Material inputs'!$C$18/'Building &amp; Material inputs'!$C$19</f>
        <v>0</v>
      </c>
      <c r="AY52" s="187">
        <f>W52/'Building &amp; Material inputs'!$C$18/'Building &amp; Material inputs'!$C$19</f>
        <v>0</v>
      </c>
      <c r="AZ52" s="187">
        <f>X52/'Building &amp; Material inputs'!$C$18/'Building &amp; Material inputs'!$C$19</f>
        <v>0</v>
      </c>
      <c r="BA52" s="187">
        <f>Y52/'Building &amp; Material inputs'!$C$18/'Building &amp; Material inputs'!$C$19</f>
        <v>0</v>
      </c>
      <c r="BB52" s="139">
        <f>Z52/'Building &amp; Material inputs'!$C$18/'Building &amp; Material inputs'!$C$19</f>
        <v>0</v>
      </c>
      <c r="BC52" s="139">
        <f>AA52/'Building &amp; Material inputs'!$C$18/'Building &amp; Material inputs'!$C$19</f>
        <v>0</v>
      </c>
      <c r="BD52" s="139">
        <f>AB52/'Building &amp; Material inputs'!$C$18/'Building &amp; Material inputs'!$C$19</f>
        <v>0</v>
      </c>
      <c r="BE52" s="139">
        <f>AC52/'Building &amp; Material inputs'!$C$18/'Building &amp; Material inputs'!$C$19</f>
        <v>0</v>
      </c>
      <c r="BF52" s="139">
        <f>AD52/'Building &amp; Material inputs'!$C$18/'Building &amp; Material inputs'!$C$19</f>
        <v>0</v>
      </c>
      <c r="BG52" s="139">
        <f>AE52/'Building &amp; Material inputs'!$C$18/'Building &amp; Material inputs'!$C$19</f>
        <v>0</v>
      </c>
      <c r="BH52" s="139">
        <f>AF52/'Building &amp; Material inputs'!$C$18/'Building &amp; Material inputs'!$C$19</f>
        <v>0</v>
      </c>
      <c r="BI52" s="170">
        <f>AG52/'Building &amp; Material inputs'!$C$18/'Building &amp; Material inputs'!$C$19</f>
        <v>0</v>
      </c>
      <c r="BJ52" s="170">
        <f>AH52/'Building &amp; Material inputs'!$C$18/'Building &amp; Material inputs'!$C$19</f>
        <v>0</v>
      </c>
      <c r="BK52" s="170">
        <f>AI52/'Building &amp; Material inputs'!$C$18/'Building &amp; Material inputs'!$C$19</f>
        <v>0</v>
      </c>
      <c r="BL52" s="170">
        <f>AJ52/'Building &amp; Material inputs'!$C$18/'Building &amp; Material inputs'!$C$19</f>
        <v>0</v>
      </c>
      <c r="BM52" s="170">
        <f>AK52/'Building &amp; Material inputs'!$C$18/'Building &amp; Material inputs'!$C$19</f>
        <v>0</v>
      </c>
      <c r="BN52" s="170">
        <f>AL52/'Building &amp; Material inputs'!$C$18/'Building &amp; Material inputs'!$C$19</f>
        <v>0</v>
      </c>
      <c r="BO52" s="170">
        <f>AM52/'Building &amp; Material inputs'!$C$18/'Building &amp; Material inputs'!$C$19</f>
        <v>0</v>
      </c>
    </row>
    <row r="53" spans="2:67" x14ac:dyDescent="0.25">
      <c r="B53" s="334"/>
      <c r="C53" s="320"/>
      <c r="D53" s="305"/>
      <c r="E53" s="307" t="s">
        <v>462</v>
      </c>
      <c r="F53" s="59" t="s">
        <v>131</v>
      </c>
      <c r="G53" s="60" t="s">
        <v>313</v>
      </c>
      <c r="H53" s="7" t="str">
        <f>'Material quantities'!G54</f>
        <v>CONB</v>
      </c>
      <c r="I53" s="38">
        <f>'Material quantities'!O54</f>
        <v>0</v>
      </c>
      <c r="J53" s="62" t="s">
        <v>14</v>
      </c>
      <c r="K53" s="2"/>
      <c r="L53" s="144">
        <f>VLOOKUP($H53,'Material impact data'!$E$19:$AM$61,6,0)/VLOOKUP($H53,'Material impact data'!$E$19:$AM$61,4,0)*$I53</f>
        <v>0</v>
      </c>
      <c r="M53" s="140">
        <f>VLOOKUP($H53,'Material impact data'!$E$19:$AM$61,'Material impact data'!M$15,0)/VLOOKUP($H53,'Material impact data'!$E$19:$AM$61,4,0)*$I53</f>
        <v>0</v>
      </c>
      <c r="N53" s="140">
        <f>VLOOKUP($H53,'Material impact data'!$E$19:$AM$61,'Material impact data'!N$15,0)/VLOOKUP($H53,'Material impact data'!$E$19:$AM$61,4,0)*$I53</f>
        <v>0</v>
      </c>
      <c r="O53" s="185">
        <f>VLOOKUP($H53,'Material impact data'!$E$19:$AM$61,'Material impact data'!O$15,0)/VLOOKUP($H53,'Material impact data'!$E$19:$AM$61,4,0)*$I53</f>
        <v>0</v>
      </c>
      <c r="P53" s="185">
        <f>VLOOKUP($H53,'Material impact data'!$E$19:$AM$61,'Material impact data'!P$15,0)/VLOOKUP($H53,'Material impact data'!$E$19:$AM$61,4,0)*$I53</f>
        <v>0</v>
      </c>
      <c r="Q53" s="186">
        <f>VLOOKUP($H53,'Material impact data'!$E$19:$AM$61,'Material impact data'!Q$15,0)/VLOOKUP($H53,'Material impact data'!$E$19:$AM$61,4,0)*$I53</f>
        <v>0</v>
      </c>
      <c r="R53" s="186">
        <f>VLOOKUP($H53,'Material impact data'!$E$19:$AM$61,'Material impact data'!R$15,0)/VLOOKUP($H53,'Material impact data'!$E$19:$AM$61,4,0)*$I53</f>
        <v>0</v>
      </c>
      <c r="S53" s="140">
        <f>VLOOKUP($H53,'Material impact data'!$E$19:$AM$61,'Material impact data'!S$15,0)/VLOOKUP($H53,'Material impact data'!$E$19:$AM$61,4,0)*$I53</f>
        <v>0</v>
      </c>
      <c r="T53" s="140">
        <f>VLOOKUP($H53,'Material impact data'!$E$19:$AM$61,'Material impact data'!T$15,0)/VLOOKUP($H53,'Material impact data'!$E$19:$AM$61,4,0)*$I53</f>
        <v>0</v>
      </c>
      <c r="U53" s="140">
        <f>VLOOKUP($H53,'Material impact data'!$E$19:$AM$61,'Material impact data'!U$15,0)/VLOOKUP($H53,'Material impact data'!$E$19:$AM$61,4,0)*$I53</f>
        <v>0</v>
      </c>
      <c r="V53" s="140">
        <f>VLOOKUP($H53,'Material impact data'!$E$19:$AM$61,'Material impact data'!V$15,0)/VLOOKUP($H53,'Material impact data'!$E$19:$AM$61,4,0)*$I53</f>
        <v>0</v>
      </c>
      <c r="W53" s="140">
        <f>VLOOKUP($H53,'Material impact data'!$E$19:$AM$61,'Material impact data'!W$15,0)/VLOOKUP($H53,'Material impact data'!$E$19:$AM$61,4,0)*$I53</f>
        <v>0</v>
      </c>
      <c r="X53" s="140">
        <f>VLOOKUP($H53,'Material impact data'!$E$19:$AM$61,'Material impact data'!X$15,0)/VLOOKUP($H53,'Material impact data'!$E$19:$AM$61,4,0)*$I53</f>
        <v>0</v>
      </c>
      <c r="Y53" s="140">
        <f>VLOOKUP($H53,'Material impact data'!$E$19:$AM$61,'Material impact data'!Y$15,0)/VLOOKUP($H53,'Material impact data'!$E$19:$AM$61,4,0)*$I53</f>
        <v>0</v>
      </c>
      <c r="Z53" s="185">
        <f>VLOOKUP($H53,'Material impact data'!$E$19:$AM$61,'Material impact data'!Z$15,0)/VLOOKUP($H53,'Material impact data'!$E$19:$AM$61,4,0)*$I53</f>
        <v>0</v>
      </c>
      <c r="AA53" s="185">
        <f>VLOOKUP($H53,'Material impact data'!$E$19:$AM$61,'Material impact data'!AA$15,0)/VLOOKUP($H53,'Material impact data'!$E$19:$AM$61,4,0)*$I53</f>
        <v>0</v>
      </c>
      <c r="AB53" s="185">
        <f>VLOOKUP($H53,'Material impact data'!$E$19:$AM$61,'Material impact data'!AB$15,0)/VLOOKUP($H53,'Material impact data'!$E$19:$AM$61,4,0)*$I53</f>
        <v>0</v>
      </c>
      <c r="AC53" s="185">
        <f>VLOOKUP($H53,'Material impact data'!$E$19:$AM$61,'Material impact data'!AC$15,0)/VLOOKUP($H53,'Material impact data'!$E$19:$AM$61,4,0)*$I53</f>
        <v>0</v>
      </c>
      <c r="AD53" s="185">
        <f>VLOOKUP($H53,'Material impact data'!$E$19:$AM$61,'Material impact data'!AD$15,0)/VLOOKUP($H53,'Material impact data'!$E$19:$AM$61,4,0)*$I53</f>
        <v>0</v>
      </c>
      <c r="AE53" s="185">
        <f>VLOOKUP($H53,'Material impact data'!$E$19:$AM$61,'Material impact data'!AE$15,0)/VLOOKUP($H53,'Material impact data'!$E$19:$AM$61,4,0)*$I53</f>
        <v>0</v>
      </c>
      <c r="AF53" s="185">
        <f>VLOOKUP($H53,'Material impact data'!$E$19:$AM$61,'Material impact data'!AF$15,0)/VLOOKUP($H53,'Material impact data'!$E$19:$AM$61,4,0)*$I53</f>
        <v>0</v>
      </c>
      <c r="AG53" s="186">
        <f>VLOOKUP($H53,'Material impact data'!$E$19:$AM$61,'Material impact data'!AG$15,0)/VLOOKUP($H53,'Material impact data'!$E$19:$AM$61,4,0)*$I53</f>
        <v>0</v>
      </c>
      <c r="AH53" s="186">
        <f>VLOOKUP($H53,'Material impact data'!$E$19:$AM$61,'Material impact data'!AH$15,0)/VLOOKUP($H53,'Material impact data'!$E$19:$AM$61,4,0)*$I53</f>
        <v>0</v>
      </c>
      <c r="AI53" s="186">
        <f>VLOOKUP($H53,'Material impact data'!$E$19:$AM$61,'Material impact data'!AI$15,0)/VLOOKUP($H53,'Material impact data'!$E$19:$AM$61,4,0)*$I53</f>
        <v>0</v>
      </c>
      <c r="AJ53" s="186">
        <f>VLOOKUP($H53,'Material impact data'!$E$19:$AM$61,'Material impact data'!AJ$15,0)/VLOOKUP($H53,'Material impact data'!$E$19:$AM$61,4,0)*$I53</f>
        <v>0</v>
      </c>
      <c r="AK53" s="186">
        <f>VLOOKUP($H53,'Material impact data'!$E$19:$AM$61,'Material impact data'!AK$15,0)/VLOOKUP($H53,'Material impact data'!$E$19:$AM$61,4,0)*$I53</f>
        <v>0</v>
      </c>
      <c r="AL53" s="186">
        <f>VLOOKUP($H53,'Material impact data'!$E$19:$AM$61,'Material impact data'!AL$15,0)/VLOOKUP($H53,'Material impact data'!$E$19:$AM$61,4,0)*$I53</f>
        <v>0</v>
      </c>
      <c r="AM53" s="186">
        <f>VLOOKUP($H53,'Material impact data'!$E$19:$AM$61,'Material impact data'!AM$15,0)/VLOOKUP($H53,'Material impact data'!$E$19:$AM$61,4,0)*$I53</f>
        <v>0</v>
      </c>
      <c r="AO53" s="187">
        <f>M53/'Building &amp; Material inputs'!$C$18/'Building &amp; Material inputs'!$C$19</f>
        <v>0</v>
      </c>
      <c r="AP53" s="187">
        <f>N53/'Building &amp; Material inputs'!$C$18/'Building &amp; Material inputs'!$C$19</f>
        <v>0</v>
      </c>
      <c r="AQ53" s="139">
        <f>O53/'Building &amp; Material inputs'!$C$18/'Building &amp; Material inputs'!$C$19</f>
        <v>0</v>
      </c>
      <c r="AR53" s="139">
        <f>P53/'Building &amp; Material inputs'!$C$18/'Building &amp; Material inputs'!$C$19</f>
        <v>0</v>
      </c>
      <c r="AS53" s="170">
        <f>Q53/'Building &amp; Material inputs'!$C$18/'Building &amp; Material inputs'!$C$19</f>
        <v>0</v>
      </c>
      <c r="AT53" s="170">
        <f>R53/'Building &amp; Material inputs'!$C$18/'Building &amp; Material inputs'!$C$19</f>
        <v>0</v>
      </c>
      <c r="AU53" s="187">
        <f>S53/'Building &amp; Material inputs'!$C$18/'Building &amp; Material inputs'!$C$19</f>
        <v>0</v>
      </c>
      <c r="AV53" s="187">
        <f>T53/'Building &amp; Material inputs'!$C$18/'Building &amp; Material inputs'!$C$19</f>
        <v>0</v>
      </c>
      <c r="AW53" s="187">
        <f>U53/'Building &amp; Material inputs'!$C$18/'Building &amp; Material inputs'!$C$19</f>
        <v>0</v>
      </c>
      <c r="AX53" s="187">
        <f>V53/'Building &amp; Material inputs'!$C$18/'Building &amp; Material inputs'!$C$19</f>
        <v>0</v>
      </c>
      <c r="AY53" s="187">
        <f>W53/'Building &amp; Material inputs'!$C$18/'Building &amp; Material inputs'!$C$19</f>
        <v>0</v>
      </c>
      <c r="AZ53" s="187">
        <f>X53/'Building &amp; Material inputs'!$C$18/'Building &amp; Material inputs'!$C$19</f>
        <v>0</v>
      </c>
      <c r="BA53" s="187">
        <f>Y53/'Building &amp; Material inputs'!$C$18/'Building &amp; Material inputs'!$C$19</f>
        <v>0</v>
      </c>
      <c r="BB53" s="139">
        <f>Z53/'Building &amp; Material inputs'!$C$18/'Building &amp; Material inputs'!$C$19</f>
        <v>0</v>
      </c>
      <c r="BC53" s="139">
        <f>AA53/'Building &amp; Material inputs'!$C$18/'Building &amp; Material inputs'!$C$19</f>
        <v>0</v>
      </c>
      <c r="BD53" s="139">
        <f>AB53/'Building &amp; Material inputs'!$C$18/'Building &amp; Material inputs'!$C$19</f>
        <v>0</v>
      </c>
      <c r="BE53" s="139">
        <f>AC53/'Building &amp; Material inputs'!$C$18/'Building &amp; Material inputs'!$C$19</f>
        <v>0</v>
      </c>
      <c r="BF53" s="139">
        <f>AD53/'Building &amp; Material inputs'!$C$18/'Building &amp; Material inputs'!$C$19</f>
        <v>0</v>
      </c>
      <c r="BG53" s="139">
        <f>AE53/'Building &amp; Material inputs'!$C$18/'Building &amp; Material inputs'!$C$19</f>
        <v>0</v>
      </c>
      <c r="BH53" s="139">
        <f>AF53/'Building &amp; Material inputs'!$C$18/'Building &amp; Material inputs'!$C$19</f>
        <v>0</v>
      </c>
      <c r="BI53" s="170">
        <f>AG53/'Building &amp; Material inputs'!$C$18/'Building &amp; Material inputs'!$C$19</f>
        <v>0</v>
      </c>
      <c r="BJ53" s="170">
        <f>AH53/'Building &amp; Material inputs'!$C$18/'Building &amp; Material inputs'!$C$19</f>
        <v>0</v>
      </c>
      <c r="BK53" s="170">
        <f>AI53/'Building &amp; Material inputs'!$C$18/'Building &amp; Material inputs'!$C$19</f>
        <v>0</v>
      </c>
      <c r="BL53" s="170">
        <f>AJ53/'Building &amp; Material inputs'!$C$18/'Building &amp; Material inputs'!$C$19</f>
        <v>0</v>
      </c>
      <c r="BM53" s="170">
        <f>AK53/'Building &amp; Material inputs'!$C$18/'Building &amp; Material inputs'!$C$19</f>
        <v>0</v>
      </c>
      <c r="BN53" s="170">
        <f>AL53/'Building &amp; Material inputs'!$C$18/'Building &amp; Material inputs'!$C$19</f>
        <v>0</v>
      </c>
      <c r="BO53" s="170">
        <f>AM53/'Building &amp; Material inputs'!$C$18/'Building &amp; Material inputs'!$C$19</f>
        <v>0</v>
      </c>
    </row>
    <row r="54" spans="2:67" x14ac:dyDescent="0.25">
      <c r="B54" s="334"/>
      <c r="C54" s="320"/>
      <c r="D54" s="305"/>
      <c r="E54" s="309"/>
      <c r="F54" s="59" t="s">
        <v>132</v>
      </c>
      <c r="G54" s="60" t="s">
        <v>312</v>
      </c>
      <c r="H54" s="7" t="str">
        <f>'Material quantities'!G55</f>
        <v>CERB</v>
      </c>
      <c r="I54" s="38">
        <f>'Material quantities'!O55</f>
        <v>0</v>
      </c>
      <c r="J54" s="62" t="s">
        <v>15</v>
      </c>
      <c r="K54" s="2"/>
      <c r="L54" s="144">
        <f>VLOOKUP($H54,'Material impact data'!$E$19:$AM$61,6,0)/VLOOKUP($H54,'Material impact data'!$E$19:$AM$61,4,0)*$I54</f>
        <v>0</v>
      </c>
      <c r="M54" s="140">
        <f>VLOOKUP($H54,'Material impact data'!$E$19:$AM$61,'Material impact data'!M$15,0)/VLOOKUP($H54,'Material impact data'!$E$19:$AM$61,4,0)*$I54</f>
        <v>0</v>
      </c>
      <c r="N54" s="140">
        <f>VLOOKUP($H54,'Material impact data'!$E$19:$AM$61,'Material impact data'!N$15,0)/VLOOKUP($H54,'Material impact data'!$E$19:$AM$61,4,0)*$I54</f>
        <v>0</v>
      </c>
      <c r="O54" s="185">
        <f>VLOOKUP($H54,'Material impact data'!$E$19:$AM$61,'Material impact data'!O$15,0)/VLOOKUP($H54,'Material impact data'!$E$19:$AM$61,4,0)*$I54</f>
        <v>0</v>
      </c>
      <c r="P54" s="185">
        <f>VLOOKUP($H54,'Material impact data'!$E$19:$AM$61,'Material impact data'!P$15,0)/VLOOKUP($H54,'Material impact data'!$E$19:$AM$61,4,0)*$I54</f>
        <v>0</v>
      </c>
      <c r="Q54" s="186">
        <f>VLOOKUP($H54,'Material impact data'!$E$19:$AM$61,'Material impact data'!Q$15,0)/VLOOKUP($H54,'Material impact data'!$E$19:$AM$61,4,0)*$I54</f>
        <v>0</v>
      </c>
      <c r="R54" s="186">
        <f>VLOOKUP($H54,'Material impact data'!$E$19:$AM$61,'Material impact data'!R$15,0)/VLOOKUP($H54,'Material impact data'!$E$19:$AM$61,4,0)*$I54</f>
        <v>0</v>
      </c>
      <c r="S54" s="140">
        <f>VLOOKUP($H54,'Material impact data'!$E$19:$AM$61,'Material impact data'!S$15,0)/VLOOKUP($H54,'Material impact data'!$E$19:$AM$61,4,0)*$I54</f>
        <v>0</v>
      </c>
      <c r="T54" s="140">
        <f>VLOOKUP($H54,'Material impact data'!$E$19:$AM$61,'Material impact data'!T$15,0)/VLOOKUP($H54,'Material impact data'!$E$19:$AM$61,4,0)*$I54</f>
        <v>0</v>
      </c>
      <c r="U54" s="140">
        <f>VLOOKUP($H54,'Material impact data'!$E$19:$AM$61,'Material impact data'!U$15,0)/VLOOKUP($H54,'Material impact data'!$E$19:$AM$61,4,0)*$I54</f>
        <v>0</v>
      </c>
      <c r="V54" s="140">
        <f>VLOOKUP($H54,'Material impact data'!$E$19:$AM$61,'Material impact data'!V$15,0)/VLOOKUP($H54,'Material impact data'!$E$19:$AM$61,4,0)*$I54</f>
        <v>0</v>
      </c>
      <c r="W54" s="140">
        <f>VLOOKUP($H54,'Material impact data'!$E$19:$AM$61,'Material impact data'!W$15,0)/VLOOKUP($H54,'Material impact data'!$E$19:$AM$61,4,0)*$I54</f>
        <v>0</v>
      </c>
      <c r="X54" s="140">
        <f>VLOOKUP($H54,'Material impact data'!$E$19:$AM$61,'Material impact data'!X$15,0)/VLOOKUP($H54,'Material impact data'!$E$19:$AM$61,4,0)*$I54</f>
        <v>0</v>
      </c>
      <c r="Y54" s="140">
        <f>VLOOKUP($H54,'Material impact data'!$E$19:$AM$61,'Material impact data'!Y$15,0)/VLOOKUP($H54,'Material impact data'!$E$19:$AM$61,4,0)*$I54</f>
        <v>0</v>
      </c>
      <c r="Z54" s="185">
        <f>VLOOKUP($H54,'Material impact data'!$E$19:$AM$61,'Material impact data'!Z$15,0)/VLOOKUP($H54,'Material impact data'!$E$19:$AM$61,4,0)*$I54</f>
        <v>0</v>
      </c>
      <c r="AA54" s="185">
        <f>VLOOKUP($H54,'Material impact data'!$E$19:$AM$61,'Material impact data'!AA$15,0)/VLOOKUP($H54,'Material impact data'!$E$19:$AM$61,4,0)*$I54</f>
        <v>0</v>
      </c>
      <c r="AB54" s="185">
        <f>VLOOKUP($H54,'Material impact data'!$E$19:$AM$61,'Material impact data'!AB$15,0)/VLOOKUP($H54,'Material impact data'!$E$19:$AM$61,4,0)*$I54</f>
        <v>0</v>
      </c>
      <c r="AC54" s="185">
        <f>VLOOKUP($H54,'Material impact data'!$E$19:$AM$61,'Material impact data'!AC$15,0)/VLOOKUP($H54,'Material impact data'!$E$19:$AM$61,4,0)*$I54</f>
        <v>0</v>
      </c>
      <c r="AD54" s="185">
        <f>VLOOKUP($H54,'Material impact data'!$E$19:$AM$61,'Material impact data'!AD$15,0)/VLOOKUP($H54,'Material impact data'!$E$19:$AM$61,4,0)*$I54</f>
        <v>0</v>
      </c>
      <c r="AE54" s="185">
        <f>VLOOKUP($H54,'Material impact data'!$E$19:$AM$61,'Material impact data'!AE$15,0)/VLOOKUP($H54,'Material impact data'!$E$19:$AM$61,4,0)*$I54</f>
        <v>0</v>
      </c>
      <c r="AF54" s="185">
        <f>VLOOKUP($H54,'Material impact data'!$E$19:$AM$61,'Material impact data'!AF$15,0)/VLOOKUP($H54,'Material impact data'!$E$19:$AM$61,4,0)*$I54</f>
        <v>0</v>
      </c>
      <c r="AG54" s="186">
        <f>VLOOKUP($H54,'Material impact data'!$E$19:$AM$61,'Material impact data'!AG$15,0)/VLOOKUP($H54,'Material impact data'!$E$19:$AM$61,4,0)*$I54</f>
        <v>0</v>
      </c>
      <c r="AH54" s="186">
        <f>VLOOKUP($H54,'Material impact data'!$E$19:$AM$61,'Material impact data'!AH$15,0)/VLOOKUP($H54,'Material impact data'!$E$19:$AM$61,4,0)*$I54</f>
        <v>0</v>
      </c>
      <c r="AI54" s="186">
        <f>VLOOKUP($H54,'Material impact data'!$E$19:$AM$61,'Material impact data'!AI$15,0)/VLOOKUP($H54,'Material impact data'!$E$19:$AM$61,4,0)*$I54</f>
        <v>0</v>
      </c>
      <c r="AJ54" s="186">
        <f>VLOOKUP($H54,'Material impact data'!$E$19:$AM$61,'Material impact data'!AJ$15,0)/VLOOKUP($H54,'Material impact data'!$E$19:$AM$61,4,0)*$I54</f>
        <v>0</v>
      </c>
      <c r="AK54" s="186">
        <f>VLOOKUP($H54,'Material impact data'!$E$19:$AM$61,'Material impact data'!AK$15,0)/VLOOKUP($H54,'Material impact data'!$E$19:$AM$61,4,0)*$I54</f>
        <v>0</v>
      </c>
      <c r="AL54" s="186">
        <f>VLOOKUP($H54,'Material impact data'!$E$19:$AM$61,'Material impact data'!AL$15,0)/VLOOKUP($H54,'Material impact data'!$E$19:$AM$61,4,0)*$I54</f>
        <v>0</v>
      </c>
      <c r="AM54" s="186">
        <f>VLOOKUP($H54,'Material impact data'!$E$19:$AM$61,'Material impact data'!AM$15,0)/VLOOKUP($H54,'Material impact data'!$E$19:$AM$61,4,0)*$I54</f>
        <v>0</v>
      </c>
      <c r="AO54" s="187">
        <f>M54/'Building &amp; Material inputs'!$C$18/'Building &amp; Material inputs'!$C$19</f>
        <v>0</v>
      </c>
      <c r="AP54" s="187">
        <f>N54/'Building &amp; Material inputs'!$C$18/'Building &amp; Material inputs'!$C$19</f>
        <v>0</v>
      </c>
      <c r="AQ54" s="139">
        <f>O54/'Building &amp; Material inputs'!$C$18/'Building &amp; Material inputs'!$C$19</f>
        <v>0</v>
      </c>
      <c r="AR54" s="139">
        <f>P54/'Building &amp; Material inputs'!$C$18/'Building &amp; Material inputs'!$C$19</f>
        <v>0</v>
      </c>
      <c r="AS54" s="170">
        <f>Q54/'Building &amp; Material inputs'!$C$18/'Building &amp; Material inputs'!$C$19</f>
        <v>0</v>
      </c>
      <c r="AT54" s="170">
        <f>R54/'Building &amp; Material inputs'!$C$18/'Building &amp; Material inputs'!$C$19</f>
        <v>0</v>
      </c>
      <c r="AU54" s="187">
        <f>S54/'Building &amp; Material inputs'!$C$18/'Building &amp; Material inputs'!$C$19</f>
        <v>0</v>
      </c>
      <c r="AV54" s="187">
        <f>T54/'Building &amp; Material inputs'!$C$18/'Building &amp; Material inputs'!$C$19</f>
        <v>0</v>
      </c>
      <c r="AW54" s="187">
        <f>U54/'Building &amp; Material inputs'!$C$18/'Building &amp; Material inputs'!$C$19</f>
        <v>0</v>
      </c>
      <c r="AX54" s="187">
        <f>V54/'Building &amp; Material inputs'!$C$18/'Building &amp; Material inputs'!$C$19</f>
        <v>0</v>
      </c>
      <c r="AY54" s="187">
        <f>W54/'Building &amp; Material inputs'!$C$18/'Building &amp; Material inputs'!$C$19</f>
        <v>0</v>
      </c>
      <c r="AZ54" s="187">
        <f>X54/'Building &amp; Material inputs'!$C$18/'Building &amp; Material inputs'!$C$19</f>
        <v>0</v>
      </c>
      <c r="BA54" s="187">
        <f>Y54/'Building &amp; Material inputs'!$C$18/'Building &amp; Material inputs'!$C$19</f>
        <v>0</v>
      </c>
      <c r="BB54" s="139">
        <f>Z54/'Building &amp; Material inputs'!$C$18/'Building &amp; Material inputs'!$C$19</f>
        <v>0</v>
      </c>
      <c r="BC54" s="139">
        <f>AA54/'Building &amp; Material inputs'!$C$18/'Building &amp; Material inputs'!$C$19</f>
        <v>0</v>
      </c>
      <c r="BD54" s="139">
        <f>AB54/'Building &amp; Material inputs'!$C$18/'Building &amp; Material inputs'!$C$19</f>
        <v>0</v>
      </c>
      <c r="BE54" s="139">
        <f>AC54/'Building &amp; Material inputs'!$C$18/'Building &amp; Material inputs'!$C$19</f>
        <v>0</v>
      </c>
      <c r="BF54" s="139">
        <f>AD54/'Building &amp; Material inputs'!$C$18/'Building &amp; Material inputs'!$C$19</f>
        <v>0</v>
      </c>
      <c r="BG54" s="139">
        <f>AE54/'Building &amp; Material inputs'!$C$18/'Building &amp; Material inputs'!$C$19</f>
        <v>0</v>
      </c>
      <c r="BH54" s="139">
        <f>AF54/'Building &amp; Material inputs'!$C$18/'Building &amp; Material inputs'!$C$19</f>
        <v>0</v>
      </c>
      <c r="BI54" s="170">
        <f>AG54/'Building &amp; Material inputs'!$C$18/'Building &amp; Material inputs'!$C$19</f>
        <v>0</v>
      </c>
      <c r="BJ54" s="170">
        <f>AH54/'Building &amp; Material inputs'!$C$18/'Building &amp; Material inputs'!$C$19</f>
        <v>0</v>
      </c>
      <c r="BK54" s="170">
        <f>AI54/'Building &amp; Material inputs'!$C$18/'Building &amp; Material inputs'!$C$19</f>
        <v>0</v>
      </c>
      <c r="BL54" s="170">
        <f>AJ54/'Building &amp; Material inputs'!$C$18/'Building &amp; Material inputs'!$C$19</f>
        <v>0</v>
      </c>
      <c r="BM54" s="170">
        <f>AK54/'Building &amp; Material inputs'!$C$18/'Building &amp; Material inputs'!$C$19</f>
        <v>0</v>
      </c>
      <c r="BN54" s="170">
        <f>AL54/'Building &amp; Material inputs'!$C$18/'Building &amp; Material inputs'!$C$19</f>
        <v>0</v>
      </c>
      <c r="BO54" s="170">
        <f>AM54/'Building &amp; Material inputs'!$C$18/'Building &amp; Material inputs'!$C$19</f>
        <v>0</v>
      </c>
    </row>
    <row r="55" spans="2:67" x14ac:dyDescent="0.25">
      <c r="B55" s="334"/>
      <c r="C55" s="320"/>
      <c r="D55" s="305"/>
      <c r="E55" s="309"/>
      <c r="F55" s="59" t="s">
        <v>133</v>
      </c>
      <c r="G55" s="60" t="s">
        <v>51</v>
      </c>
      <c r="H55" s="7" t="str">
        <f>'Material quantities'!G56</f>
        <v>CONBEAM</v>
      </c>
      <c r="I55" s="38">
        <f>'Material quantities'!O56</f>
        <v>0</v>
      </c>
      <c r="J55" s="62" t="s">
        <v>15</v>
      </c>
      <c r="K55" s="2"/>
      <c r="L55" s="144">
        <f>VLOOKUP($H55,'Material impact data'!$E$19:$AM$61,6,0)/VLOOKUP($H55,'Material impact data'!$E$19:$AM$61,4,0)*$I55</f>
        <v>0</v>
      </c>
      <c r="M55" s="140">
        <f>VLOOKUP($H55,'Material impact data'!$E$19:$AM$61,'Material impact data'!M$15,0)/VLOOKUP($H55,'Material impact data'!$E$19:$AM$61,4,0)*$I55</f>
        <v>0</v>
      </c>
      <c r="N55" s="140">
        <f>VLOOKUP($H55,'Material impact data'!$E$19:$AM$61,'Material impact data'!N$15,0)/VLOOKUP($H55,'Material impact data'!$E$19:$AM$61,4,0)*$I55</f>
        <v>0</v>
      </c>
      <c r="O55" s="185">
        <f>VLOOKUP($H55,'Material impact data'!$E$19:$AM$61,'Material impact data'!O$15,0)/VLOOKUP($H55,'Material impact data'!$E$19:$AM$61,4,0)*$I55</f>
        <v>0</v>
      </c>
      <c r="P55" s="185">
        <f>VLOOKUP($H55,'Material impact data'!$E$19:$AM$61,'Material impact data'!P$15,0)/VLOOKUP($H55,'Material impact data'!$E$19:$AM$61,4,0)*$I55</f>
        <v>0</v>
      </c>
      <c r="Q55" s="186">
        <f>VLOOKUP($H55,'Material impact data'!$E$19:$AM$61,'Material impact data'!Q$15,0)/VLOOKUP($H55,'Material impact data'!$E$19:$AM$61,4,0)*$I55</f>
        <v>0</v>
      </c>
      <c r="R55" s="186">
        <f>VLOOKUP($H55,'Material impact data'!$E$19:$AM$61,'Material impact data'!R$15,0)/VLOOKUP($H55,'Material impact data'!$E$19:$AM$61,4,0)*$I55</f>
        <v>0</v>
      </c>
      <c r="S55" s="140">
        <f>VLOOKUP($H55,'Material impact data'!$E$19:$AM$61,'Material impact data'!S$15,0)/VLOOKUP($H55,'Material impact data'!$E$19:$AM$61,4,0)*$I55</f>
        <v>0</v>
      </c>
      <c r="T55" s="140">
        <f>VLOOKUP($H55,'Material impact data'!$E$19:$AM$61,'Material impact data'!T$15,0)/VLOOKUP($H55,'Material impact data'!$E$19:$AM$61,4,0)*$I55</f>
        <v>0</v>
      </c>
      <c r="U55" s="140">
        <f>VLOOKUP($H55,'Material impact data'!$E$19:$AM$61,'Material impact data'!U$15,0)/VLOOKUP($H55,'Material impact data'!$E$19:$AM$61,4,0)*$I55</f>
        <v>0</v>
      </c>
      <c r="V55" s="140">
        <f>VLOOKUP($H55,'Material impact data'!$E$19:$AM$61,'Material impact data'!V$15,0)/VLOOKUP($H55,'Material impact data'!$E$19:$AM$61,4,0)*$I55</f>
        <v>0</v>
      </c>
      <c r="W55" s="140">
        <f>VLOOKUP($H55,'Material impact data'!$E$19:$AM$61,'Material impact data'!W$15,0)/VLOOKUP($H55,'Material impact data'!$E$19:$AM$61,4,0)*$I55</f>
        <v>0</v>
      </c>
      <c r="X55" s="140">
        <f>VLOOKUP($H55,'Material impact data'!$E$19:$AM$61,'Material impact data'!X$15,0)/VLOOKUP($H55,'Material impact data'!$E$19:$AM$61,4,0)*$I55</f>
        <v>0</v>
      </c>
      <c r="Y55" s="140">
        <f>VLOOKUP($H55,'Material impact data'!$E$19:$AM$61,'Material impact data'!Y$15,0)/VLOOKUP($H55,'Material impact data'!$E$19:$AM$61,4,0)*$I55</f>
        <v>0</v>
      </c>
      <c r="Z55" s="185">
        <f>VLOOKUP($H55,'Material impact data'!$E$19:$AM$61,'Material impact data'!Z$15,0)/VLOOKUP($H55,'Material impact data'!$E$19:$AM$61,4,0)*$I55</f>
        <v>0</v>
      </c>
      <c r="AA55" s="185">
        <f>VLOOKUP($H55,'Material impact data'!$E$19:$AM$61,'Material impact data'!AA$15,0)/VLOOKUP($H55,'Material impact data'!$E$19:$AM$61,4,0)*$I55</f>
        <v>0</v>
      </c>
      <c r="AB55" s="185">
        <f>VLOOKUP($H55,'Material impact data'!$E$19:$AM$61,'Material impact data'!AB$15,0)/VLOOKUP($H55,'Material impact data'!$E$19:$AM$61,4,0)*$I55</f>
        <v>0</v>
      </c>
      <c r="AC55" s="185">
        <f>VLOOKUP($H55,'Material impact data'!$E$19:$AM$61,'Material impact data'!AC$15,0)/VLOOKUP($H55,'Material impact data'!$E$19:$AM$61,4,0)*$I55</f>
        <v>0</v>
      </c>
      <c r="AD55" s="185">
        <f>VLOOKUP($H55,'Material impact data'!$E$19:$AM$61,'Material impact data'!AD$15,0)/VLOOKUP($H55,'Material impact data'!$E$19:$AM$61,4,0)*$I55</f>
        <v>0</v>
      </c>
      <c r="AE55" s="185">
        <f>VLOOKUP($H55,'Material impact data'!$E$19:$AM$61,'Material impact data'!AE$15,0)/VLOOKUP($H55,'Material impact data'!$E$19:$AM$61,4,0)*$I55</f>
        <v>0</v>
      </c>
      <c r="AF55" s="185">
        <f>VLOOKUP($H55,'Material impact data'!$E$19:$AM$61,'Material impact data'!AF$15,0)/VLOOKUP($H55,'Material impact data'!$E$19:$AM$61,4,0)*$I55</f>
        <v>0</v>
      </c>
      <c r="AG55" s="186">
        <f>VLOOKUP($H55,'Material impact data'!$E$19:$AM$61,'Material impact data'!AG$15,0)/VLOOKUP($H55,'Material impact data'!$E$19:$AM$61,4,0)*$I55</f>
        <v>0</v>
      </c>
      <c r="AH55" s="186">
        <f>VLOOKUP($H55,'Material impact data'!$E$19:$AM$61,'Material impact data'!AH$15,0)/VLOOKUP($H55,'Material impact data'!$E$19:$AM$61,4,0)*$I55</f>
        <v>0</v>
      </c>
      <c r="AI55" s="186">
        <f>VLOOKUP($H55,'Material impact data'!$E$19:$AM$61,'Material impact data'!AI$15,0)/VLOOKUP($H55,'Material impact data'!$E$19:$AM$61,4,0)*$I55</f>
        <v>0</v>
      </c>
      <c r="AJ55" s="186">
        <f>VLOOKUP($H55,'Material impact data'!$E$19:$AM$61,'Material impact data'!AJ$15,0)/VLOOKUP($H55,'Material impact data'!$E$19:$AM$61,4,0)*$I55</f>
        <v>0</v>
      </c>
      <c r="AK55" s="186">
        <f>VLOOKUP($H55,'Material impact data'!$E$19:$AM$61,'Material impact data'!AK$15,0)/VLOOKUP($H55,'Material impact data'!$E$19:$AM$61,4,0)*$I55</f>
        <v>0</v>
      </c>
      <c r="AL55" s="186">
        <f>VLOOKUP($H55,'Material impact data'!$E$19:$AM$61,'Material impact data'!AL$15,0)/VLOOKUP($H55,'Material impact data'!$E$19:$AM$61,4,0)*$I55</f>
        <v>0</v>
      </c>
      <c r="AM55" s="186">
        <f>VLOOKUP($H55,'Material impact data'!$E$19:$AM$61,'Material impact data'!AM$15,0)/VLOOKUP($H55,'Material impact data'!$E$19:$AM$61,4,0)*$I55</f>
        <v>0</v>
      </c>
      <c r="AO55" s="187">
        <f>M55/'Building &amp; Material inputs'!$C$18/'Building &amp; Material inputs'!$C$19</f>
        <v>0</v>
      </c>
      <c r="AP55" s="187">
        <f>N55/'Building &amp; Material inputs'!$C$18/'Building &amp; Material inputs'!$C$19</f>
        <v>0</v>
      </c>
      <c r="AQ55" s="139">
        <f>O55/'Building &amp; Material inputs'!$C$18/'Building &amp; Material inputs'!$C$19</f>
        <v>0</v>
      </c>
      <c r="AR55" s="139">
        <f>P55/'Building &amp; Material inputs'!$C$18/'Building &amp; Material inputs'!$C$19</f>
        <v>0</v>
      </c>
      <c r="AS55" s="170">
        <f>Q55/'Building &amp; Material inputs'!$C$18/'Building &amp; Material inputs'!$C$19</f>
        <v>0</v>
      </c>
      <c r="AT55" s="170">
        <f>R55/'Building &amp; Material inputs'!$C$18/'Building &amp; Material inputs'!$C$19</f>
        <v>0</v>
      </c>
      <c r="AU55" s="187">
        <f>S55/'Building &amp; Material inputs'!$C$18/'Building &amp; Material inputs'!$C$19</f>
        <v>0</v>
      </c>
      <c r="AV55" s="187">
        <f>T55/'Building &amp; Material inputs'!$C$18/'Building &amp; Material inputs'!$C$19</f>
        <v>0</v>
      </c>
      <c r="AW55" s="187">
        <f>U55/'Building &amp; Material inputs'!$C$18/'Building &amp; Material inputs'!$C$19</f>
        <v>0</v>
      </c>
      <c r="AX55" s="187">
        <f>V55/'Building &amp; Material inputs'!$C$18/'Building &amp; Material inputs'!$C$19</f>
        <v>0</v>
      </c>
      <c r="AY55" s="187">
        <f>W55/'Building &amp; Material inputs'!$C$18/'Building &amp; Material inputs'!$C$19</f>
        <v>0</v>
      </c>
      <c r="AZ55" s="187">
        <f>X55/'Building &amp; Material inputs'!$C$18/'Building &amp; Material inputs'!$C$19</f>
        <v>0</v>
      </c>
      <c r="BA55" s="187">
        <f>Y55/'Building &amp; Material inputs'!$C$18/'Building &amp; Material inputs'!$C$19</f>
        <v>0</v>
      </c>
      <c r="BB55" s="139">
        <f>Z55/'Building &amp; Material inputs'!$C$18/'Building &amp; Material inputs'!$C$19</f>
        <v>0</v>
      </c>
      <c r="BC55" s="139">
        <f>AA55/'Building &amp; Material inputs'!$C$18/'Building &amp; Material inputs'!$C$19</f>
        <v>0</v>
      </c>
      <c r="BD55" s="139">
        <f>AB55/'Building &amp; Material inputs'!$C$18/'Building &amp; Material inputs'!$C$19</f>
        <v>0</v>
      </c>
      <c r="BE55" s="139">
        <f>AC55/'Building &amp; Material inputs'!$C$18/'Building &amp; Material inputs'!$C$19</f>
        <v>0</v>
      </c>
      <c r="BF55" s="139">
        <f>AD55/'Building &amp; Material inputs'!$C$18/'Building &amp; Material inputs'!$C$19</f>
        <v>0</v>
      </c>
      <c r="BG55" s="139">
        <f>AE55/'Building &amp; Material inputs'!$C$18/'Building &amp; Material inputs'!$C$19</f>
        <v>0</v>
      </c>
      <c r="BH55" s="139">
        <f>AF55/'Building &amp; Material inputs'!$C$18/'Building &amp; Material inputs'!$C$19</f>
        <v>0</v>
      </c>
      <c r="BI55" s="170">
        <f>AG55/'Building &amp; Material inputs'!$C$18/'Building &amp; Material inputs'!$C$19</f>
        <v>0</v>
      </c>
      <c r="BJ55" s="170">
        <f>AH55/'Building &amp; Material inputs'!$C$18/'Building &amp; Material inputs'!$C$19</f>
        <v>0</v>
      </c>
      <c r="BK55" s="170">
        <f>AI55/'Building &amp; Material inputs'!$C$18/'Building &amp; Material inputs'!$C$19</f>
        <v>0</v>
      </c>
      <c r="BL55" s="170">
        <f>AJ55/'Building &amp; Material inputs'!$C$18/'Building &amp; Material inputs'!$C$19</f>
        <v>0</v>
      </c>
      <c r="BM55" s="170">
        <f>AK55/'Building &amp; Material inputs'!$C$18/'Building &amp; Material inputs'!$C$19</f>
        <v>0</v>
      </c>
      <c r="BN55" s="170">
        <f>AL55/'Building &amp; Material inputs'!$C$18/'Building &amp; Material inputs'!$C$19</f>
        <v>0</v>
      </c>
      <c r="BO55" s="170">
        <f>AM55/'Building &amp; Material inputs'!$C$18/'Building &amp; Material inputs'!$C$19</f>
        <v>0</v>
      </c>
    </row>
    <row r="56" spans="2:67" x14ac:dyDescent="0.25">
      <c r="B56" s="334"/>
      <c r="C56" s="320"/>
      <c r="D56" s="305"/>
      <c r="E56" s="309"/>
      <c r="F56" s="59" t="s">
        <v>134</v>
      </c>
      <c r="G56" s="60" t="s">
        <v>294</v>
      </c>
      <c r="H56" s="7" t="str">
        <f>'Material quantities'!G57</f>
        <v>CON2</v>
      </c>
      <c r="I56" s="38">
        <f>'Material quantities'!O57</f>
        <v>0</v>
      </c>
      <c r="J56" s="62" t="s">
        <v>14</v>
      </c>
      <c r="K56" s="2"/>
      <c r="L56" s="144">
        <f>VLOOKUP($H56,'Material impact data'!$E$19:$AM$61,6,0)/VLOOKUP($H56,'Material impact data'!$E$19:$AM$61,4,0)*$I56</f>
        <v>0</v>
      </c>
      <c r="M56" s="140">
        <f>VLOOKUP($H56,'Material impact data'!$E$19:$AM$61,'Material impact data'!M$15,0)/VLOOKUP($H56,'Material impact data'!$E$19:$AM$61,4,0)*$I56</f>
        <v>0</v>
      </c>
      <c r="N56" s="140">
        <f>VLOOKUP($H56,'Material impact data'!$E$19:$AM$61,'Material impact data'!N$15,0)/VLOOKUP($H56,'Material impact data'!$E$19:$AM$61,4,0)*$I56</f>
        <v>0</v>
      </c>
      <c r="O56" s="185">
        <f>VLOOKUP($H56,'Material impact data'!$E$19:$AM$61,'Material impact data'!O$15,0)/VLOOKUP($H56,'Material impact data'!$E$19:$AM$61,4,0)*$I56</f>
        <v>0</v>
      </c>
      <c r="P56" s="185">
        <f>VLOOKUP($H56,'Material impact data'!$E$19:$AM$61,'Material impact data'!P$15,0)/VLOOKUP($H56,'Material impact data'!$E$19:$AM$61,4,0)*$I56</f>
        <v>0</v>
      </c>
      <c r="Q56" s="186">
        <f>VLOOKUP($H56,'Material impact data'!$E$19:$AM$61,'Material impact data'!Q$15,0)/VLOOKUP($H56,'Material impact data'!$E$19:$AM$61,4,0)*$I56</f>
        <v>0</v>
      </c>
      <c r="R56" s="186">
        <f>VLOOKUP($H56,'Material impact data'!$E$19:$AM$61,'Material impact data'!R$15,0)/VLOOKUP($H56,'Material impact data'!$E$19:$AM$61,4,0)*$I56</f>
        <v>0</v>
      </c>
      <c r="S56" s="140">
        <f>VLOOKUP($H56,'Material impact data'!$E$19:$AM$61,'Material impact data'!S$15,0)/VLOOKUP($H56,'Material impact data'!$E$19:$AM$61,4,0)*$I56</f>
        <v>0</v>
      </c>
      <c r="T56" s="140">
        <f>VLOOKUP($H56,'Material impact data'!$E$19:$AM$61,'Material impact data'!T$15,0)/VLOOKUP($H56,'Material impact data'!$E$19:$AM$61,4,0)*$I56</f>
        <v>0</v>
      </c>
      <c r="U56" s="140">
        <f>VLOOKUP($H56,'Material impact data'!$E$19:$AM$61,'Material impact data'!U$15,0)/VLOOKUP($H56,'Material impact data'!$E$19:$AM$61,4,0)*$I56</f>
        <v>0</v>
      </c>
      <c r="V56" s="140">
        <f>VLOOKUP($H56,'Material impact data'!$E$19:$AM$61,'Material impact data'!V$15,0)/VLOOKUP($H56,'Material impact data'!$E$19:$AM$61,4,0)*$I56</f>
        <v>0</v>
      </c>
      <c r="W56" s="140">
        <f>VLOOKUP($H56,'Material impact data'!$E$19:$AM$61,'Material impact data'!W$15,0)/VLOOKUP($H56,'Material impact data'!$E$19:$AM$61,4,0)*$I56</f>
        <v>0</v>
      </c>
      <c r="X56" s="140">
        <f>VLOOKUP($H56,'Material impact data'!$E$19:$AM$61,'Material impact data'!X$15,0)/VLOOKUP($H56,'Material impact data'!$E$19:$AM$61,4,0)*$I56</f>
        <v>0</v>
      </c>
      <c r="Y56" s="140">
        <f>VLOOKUP($H56,'Material impact data'!$E$19:$AM$61,'Material impact data'!Y$15,0)/VLOOKUP($H56,'Material impact data'!$E$19:$AM$61,4,0)*$I56</f>
        <v>0</v>
      </c>
      <c r="Z56" s="185">
        <f>VLOOKUP($H56,'Material impact data'!$E$19:$AM$61,'Material impact data'!Z$15,0)/VLOOKUP($H56,'Material impact data'!$E$19:$AM$61,4,0)*$I56</f>
        <v>0</v>
      </c>
      <c r="AA56" s="185">
        <f>VLOOKUP($H56,'Material impact data'!$E$19:$AM$61,'Material impact data'!AA$15,0)/VLOOKUP($H56,'Material impact data'!$E$19:$AM$61,4,0)*$I56</f>
        <v>0</v>
      </c>
      <c r="AB56" s="185">
        <f>VLOOKUP($H56,'Material impact data'!$E$19:$AM$61,'Material impact data'!AB$15,0)/VLOOKUP($H56,'Material impact data'!$E$19:$AM$61,4,0)*$I56</f>
        <v>0</v>
      </c>
      <c r="AC56" s="185">
        <f>VLOOKUP($H56,'Material impact data'!$E$19:$AM$61,'Material impact data'!AC$15,0)/VLOOKUP($H56,'Material impact data'!$E$19:$AM$61,4,0)*$I56</f>
        <v>0</v>
      </c>
      <c r="AD56" s="185">
        <f>VLOOKUP($H56,'Material impact data'!$E$19:$AM$61,'Material impact data'!AD$15,0)/VLOOKUP($H56,'Material impact data'!$E$19:$AM$61,4,0)*$I56</f>
        <v>0</v>
      </c>
      <c r="AE56" s="185">
        <f>VLOOKUP($H56,'Material impact data'!$E$19:$AM$61,'Material impact data'!AE$15,0)/VLOOKUP($H56,'Material impact data'!$E$19:$AM$61,4,0)*$I56</f>
        <v>0</v>
      </c>
      <c r="AF56" s="185">
        <f>VLOOKUP($H56,'Material impact data'!$E$19:$AM$61,'Material impact data'!AF$15,0)/VLOOKUP($H56,'Material impact data'!$E$19:$AM$61,4,0)*$I56</f>
        <v>0</v>
      </c>
      <c r="AG56" s="186">
        <f>VLOOKUP($H56,'Material impact data'!$E$19:$AM$61,'Material impact data'!AG$15,0)/VLOOKUP($H56,'Material impact data'!$E$19:$AM$61,4,0)*$I56</f>
        <v>0</v>
      </c>
      <c r="AH56" s="186">
        <f>VLOOKUP($H56,'Material impact data'!$E$19:$AM$61,'Material impact data'!AH$15,0)/VLOOKUP($H56,'Material impact data'!$E$19:$AM$61,4,0)*$I56</f>
        <v>0</v>
      </c>
      <c r="AI56" s="186">
        <f>VLOOKUP($H56,'Material impact data'!$E$19:$AM$61,'Material impact data'!AI$15,0)/VLOOKUP($H56,'Material impact data'!$E$19:$AM$61,4,0)*$I56</f>
        <v>0</v>
      </c>
      <c r="AJ56" s="186">
        <f>VLOOKUP($H56,'Material impact data'!$E$19:$AM$61,'Material impact data'!AJ$15,0)/VLOOKUP($H56,'Material impact data'!$E$19:$AM$61,4,0)*$I56</f>
        <v>0</v>
      </c>
      <c r="AK56" s="186">
        <f>VLOOKUP($H56,'Material impact data'!$E$19:$AM$61,'Material impact data'!AK$15,0)/VLOOKUP($H56,'Material impact data'!$E$19:$AM$61,4,0)*$I56</f>
        <v>0</v>
      </c>
      <c r="AL56" s="186">
        <f>VLOOKUP($H56,'Material impact data'!$E$19:$AM$61,'Material impact data'!AL$15,0)/VLOOKUP($H56,'Material impact data'!$E$19:$AM$61,4,0)*$I56</f>
        <v>0</v>
      </c>
      <c r="AM56" s="186">
        <f>VLOOKUP($H56,'Material impact data'!$E$19:$AM$61,'Material impact data'!AM$15,0)/VLOOKUP($H56,'Material impact data'!$E$19:$AM$61,4,0)*$I56</f>
        <v>0</v>
      </c>
      <c r="AO56" s="187">
        <f>M56/'Building &amp; Material inputs'!$C$18/'Building &amp; Material inputs'!$C$19</f>
        <v>0</v>
      </c>
      <c r="AP56" s="187">
        <f>N56/'Building &amp; Material inputs'!$C$18/'Building &amp; Material inputs'!$C$19</f>
        <v>0</v>
      </c>
      <c r="AQ56" s="139">
        <f>O56/'Building &amp; Material inputs'!$C$18/'Building &amp; Material inputs'!$C$19</f>
        <v>0</v>
      </c>
      <c r="AR56" s="139">
        <f>P56/'Building &amp; Material inputs'!$C$18/'Building &amp; Material inputs'!$C$19</f>
        <v>0</v>
      </c>
      <c r="AS56" s="170">
        <f>Q56/'Building &amp; Material inputs'!$C$18/'Building &amp; Material inputs'!$C$19</f>
        <v>0</v>
      </c>
      <c r="AT56" s="170">
        <f>R56/'Building &amp; Material inputs'!$C$18/'Building &amp; Material inputs'!$C$19</f>
        <v>0</v>
      </c>
      <c r="AU56" s="187">
        <f>S56/'Building &amp; Material inputs'!$C$18/'Building &amp; Material inputs'!$C$19</f>
        <v>0</v>
      </c>
      <c r="AV56" s="187">
        <f>T56/'Building &amp; Material inputs'!$C$18/'Building &amp; Material inputs'!$C$19</f>
        <v>0</v>
      </c>
      <c r="AW56" s="187">
        <f>U56/'Building &amp; Material inputs'!$C$18/'Building &amp; Material inputs'!$C$19</f>
        <v>0</v>
      </c>
      <c r="AX56" s="187">
        <f>V56/'Building &amp; Material inputs'!$C$18/'Building &amp; Material inputs'!$C$19</f>
        <v>0</v>
      </c>
      <c r="AY56" s="187">
        <f>W56/'Building &amp; Material inputs'!$C$18/'Building &amp; Material inputs'!$C$19</f>
        <v>0</v>
      </c>
      <c r="AZ56" s="187">
        <f>X56/'Building &amp; Material inputs'!$C$18/'Building &amp; Material inputs'!$C$19</f>
        <v>0</v>
      </c>
      <c r="BA56" s="187">
        <f>Y56/'Building &amp; Material inputs'!$C$18/'Building &amp; Material inputs'!$C$19</f>
        <v>0</v>
      </c>
      <c r="BB56" s="139">
        <f>Z56/'Building &amp; Material inputs'!$C$18/'Building &amp; Material inputs'!$C$19</f>
        <v>0</v>
      </c>
      <c r="BC56" s="139">
        <f>AA56/'Building &amp; Material inputs'!$C$18/'Building &amp; Material inputs'!$C$19</f>
        <v>0</v>
      </c>
      <c r="BD56" s="139">
        <f>AB56/'Building &amp; Material inputs'!$C$18/'Building &amp; Material inputs'!$C$19</f>
        <v>0</v>
      </c>
      <c r="BE56" s="139">
        <f>AC56/'Building &amp; Material inputs'!$C$18/'Building &amp; Material inputs'!$C$19</f>
        <v>0</v>
      </c>
      <c r="BF56" s="139">
        <f>AD56/'Building &amp; Material inputs'!$C$18/'Building &amp; Material inputs'!$C$19</f>
        <v>0</v>
      </c>
      <c r="BG56" s="139">
        <f>AE56/'Building &amp; Material inputs'!$C$18/'Building &amp; Material inputs'!$C$19</f>
        <v>0</v>
      </c>
      <c r="BH56" s="139">
        <f>AF56/'Building &amp; Material inputs'!$C$18/'Building &amp; Material inputs'!$C$19</f>
        <v>0</v>
      </c>
      <c r="BI56" s="170">
        <f>AG56/'Building &amp; Material inputs'!$C$18/'Building &amp; Material inputs'!$C$19</f>
        <v>0</v>
      </c>
      <c r="BJ56" s="170">
        <f>AH56/'Building &amp; Material inputs'!$C$18/'Building &amp; Material inputs'!$C$19</f>
        <v>0</v>
      </c>
      <c r="BK56" s="170">
        <f>AI56/'Building &amp; Material inputs'!$C$18/'Building &amp; Material inputs'!$C$19</f>
        <v>0</v>
      </c>
      <c r="BL56" s="170">
        <f>AJ56/'Building &amp; Material inputs'!$C$18/'Building &amp; Material inputs'!$C$19</f>
        <v>0</v>
      </c>
      <c r="BM56" s="170">
        <f>AK56/'Building &amp; Material inputs'!$C$18/'Building &amp; Material inputs'!$C$19</f>
        <v>0</v>
      </c>
      <c r="BN56" s="170">
        <f>AL56/'Building &amp; Material inputs'!$C$18/'Building &amp; Material inputs'!$C$19</f>
        <v>0</v>
      </c>
      <c r="BO56" s="170">
        <f>AM56/'Building &amp; Material inputs'!$C$18/'Building &amp; Material inputs'!$C$19</f>
        <v>0</v>
      </c>
    </row>
    <row r="57" spans="2:67" x14ac:dyDescent="0.25">
      <c r="B57" s="334"/>
      <c r="C57" s="320"/>
      <c r="D57" s="305"/>
      <c r="E57" s="308"/>
      <c r="F57" s="59" t="s">
        <v>311</v>
      </c>
      <c r="G57" s="60" t="s">
        <v>20</v>
      </c>
      <c r="H57" s="7" t="str">
        <f>'Material quantities'!G58</f>
        <v>REB</v>
      </c>
      <c r="I57" s="38">
        <f>'Material quantities'!O58</f>
        <v>0</v>
      </c>
      <c r="J57" s="62" t="s">
        <v>15</v>
      </c>
      <c r="K57" s="2"/>
      <c r="L57" s="144">
        <f>VLOOKUP($H57,'Material impact data'!$E$19:$AM$61,6,0)/VLOOKUP($H57,'Material impact data'!$E$19:$AM$61,4,0)*$I57</f>
        <v>0</v>
      </c>
      <c r="M57" s="140">
        <f>VLOOKUP($H57,'Material impact data'!$E$19:$AM$61,'Material impact data'!M$15,0)/VLOOKUP($H57,'Material impact data'!$E$19:$AM$61,4,0)*$I57</f>
        <v>0</v>
      </c>
      <c r="N57" s="140">
        <f>VLOOKUP($H57,'Material impact data'!$E$19:$AM$61,'Material impact data'!N$15,0)/VLOOKUP($H57,'Material impact data'!$E$19:$AM$61,4,0)*$I57</f>
        <v>0</v>
      </c>
      <c r="O57" s="185">
        <f>VLOOKUP($H57,'Material impact data'!$E$19:$AM$61,'Material impact data'!O$15,0)/VLOOKUP($H57,'Material impact data'!$E$19:$AM$61,4,0)*$I57</f>
        <v>0</v>
      </c>
      <c r="P57" s="185">
        <f>VLOOKUP($H57,'Material impact data'!$E$19:$AM$61,'Material impact data'!P$15,0)/VLOOKUP($H57,'Material impact data'!$E$19:$AM$61,4,0)*$I57</f>
        <v>0</v>
      </c>
      <c r="Q57" s="186">
        <f>VLOOKUP($H57,'Material impact data'!$E$19:$AM$61,'Material impact data'!Q$15,0)/VLOOKUP($H57,'Material impact data'!$E$19:$AM$61,4,0)*$I57</f>
        <v>0</v>
      </c>
      <c r="R57" s="186">
        <f>VLOOKUP($H57,'Material impact data'!$E$19:$AM$61,'Material impact data'!R$15,0)/VLOOKUP($H57,'Material impact data'!$E$19:$AM$61,4,0)*$I57</f>
        <v>0</v>
      </c>
      <c r="S57" s="140">
        <f>VLOOKUP($H57,'Material impact data'!$E$19:$AM$61,'Material impact data'!S$15,0)/VLOOKUP($H57,'Material impact data'!$E$19:$AM$61,4,0)*$I57</f>
        <v>0</v>
      </c>
      <c r="T57" s="140">
        <f>VLOOKUP($H57,'Material impact data'!$E$19:$AM$61,'Material impact data'!T$15,0)/VLOOKUP($H57,'Material impact data'!$E$19:$AM$61,4,0)*$I57</f>
        <v>0</v>
      </c>
      <c r="U57" s="140">
        <f>VLOOKUP($H57,'Material impact data'!$E$19:$AM$61,'Material impact data'!U$15,0)/VLOOKUP($H57,'Material impact data'!$E$19:$AM$61,4,0)*$I57</f>
        <v>0</v>
      </c>
      <c r="V57" s="140">
        <f>VLOOKUP($H57,'Material impact data'!$E$19:$AM$61,'Material impact data'!V$15,0)/VLOOKUP($H57,'Material impact data'!$E$19:$AM$61,4,0)*$I57</f>
        <v>0</v>
      </c>
      <c r="W57" s="140">
        <f>VLOOKUP($H57,'Material impact data'!$E$19:$AM$61,'Material impact data'!W$15,0)/VLOOKUP($H57,'Material impact data'!$E$19:$AM$61,4,0)*$I57</f>
        <v>0</v>
      </c>
      <c r="X57" s="140">
        <f>VLOOKUP($H57,'Material impact data'!$E$19:$AM$61,'Material impact data'!X$15,0)/VLOOKUP($H57,'Material impact data'!$E$19:$AM$61,4,0)*$I57</f>
        <v>0</v>
      </c>
      <c r="Y57" s="140">
        <f>VLOOKUP($H57,'Material impact data'!$E$19:$AM$61,'Material impact data'!Y$15,0)/VLOOKUP($H57,'Material impact data'!$E$19:$AM$61,4,0)*$I57</f>
        <v>0</v>
      </c>
      <c r="Z57" s="185">
        <f>VLOOKUP($H57,'Material impact data'!$E$19:$AM$61,'Material impact data'!Z$15,0)/VLOOKUP($H57,'Material impact data'!$E$19:$AM$61,4,0)*$I57</f>
        <v>0</v>
      </c>
      <c r="AA57" s="185">
        <f>VLOOKUP($H57,'Material impact data'!$E$19:$AM$61,'Material impact data'!AA$15,0)/VLOOKUP($H57,'Material impact data'!$E$19:$AM$61,4,0)*$I57</f>
        <v>0</v>
      </c>
      <c r="AB57" s="185">
        <f>VLOOKUP($H57,'Material impact data'!$E$19:$AM$61,'Material impact data'!AB$15,0)/VLOOKUP($H57,'Material impact data'!$E$19:$AM$61,4,0)*$I57</f>
        <v>0</v>
      </c>
      <c r="AC57" s="185">
        <f>VLOOKUP($H57,'Material impact data'!$E$19:$AM$61,'Material impact data'!AC$15,0)/VLOOKUP($H57,'Material impact data'!$E$19:$AM$61,4,0)*$I57</f>
        <v>0</v>
      </c>
      <c r="AD57" s="185">
        <f>VLOOKUP($H57,'Material impact data'!$E$19:$AM$61,'Material impact data'!AD$15,0)/VLOOKUP($H57,'Material impact data'!$E$19:$AM$61,4,0)*$I57</f>
        <v>0</v>
      </c>
      <c r="AE57" s="185">
        <f>VLOOKUP($H57,'Material impact data'!$E$19:$AM$61,'Material impact data'!AE$15,0)/VLOOKUP($H57,'Material impact data'!$E$19:$AM$61,4,0)*$I57</f>
        <v>0</v>
      </c>
      <c r="AF57" s="185">
        <f>VLOOKUP($H57,'Material impact data'!$E$19:$AM$61,'Material impact data'!AF$15,0)/VLOOKUP($H57,'Material impact data'!$E$19:$AM$61,4,0)*$I57</f>
        <v>0</v>
      </c>
      <c r="AG57" s="186">
        <f>VLOOKUP($H57,'Material impact data'!$E$19:$AM$61,'Material impact data'!AG$15,0)/VLOOKUP($H57,'Material impact data'!$E$19:$AM$61,4,0)*$I57</f>
        <v>0</v>
      </c>
      <c r="AH57" s="186">
        <f>VLOOKUP($H57,'Material impact data'!$E$19:$AM$61,'Material impact data'!AH$15,0)/VLOOKUP($H57,'Material impact data'!$E$19:$AM$61,4,0)*$I57</f>
        <v>0</v>
      </c>
      <c r="AI57" s="186">
        <f>VLOOKUP($H57,'Material impact data'!$E$19:$AM$61,'Material impact data'!AI$15,0)/VLOOKUP($H57,'Material impact data'!$E$19:$AM$61,4,0)*$I57</f>
        <v>0</v>
      </c>
      <c r="AJ57" s="186">
        <f>VLOOKUP($H57,'Material impact data'!$E$19:$AM$61,'Material impact data'!AJ$15,0)/VLOOKUP($H57,'Material impact data'!$E$19:$AM$61,4,0)*$I57</f>
        <v>0</v>
      </c>
      <c r="AK57" s="186">
        <f>VLOOKUP($H57,'Material impact data'!$E$19:$AM$61,'Material impact data'!AK$15,0)/VLOOKUP($H57,'Material impact data'!$E$19:$AM$61,4,0)*$I57</f>
        <v>0</v>
      </c>
      <c r="AL57" s="186">
        <f>VLOOKUP($H57,'Material impact data'!$E$19:$AM$61,'Material impact data'!AL$15,0)/VLOOKUP($H57,'Material impact data'!$E$19:$AM$61,4,0)*$I57</f>
        <v>0</v>
      </c>
      <c r="AM57" s="186">
        <f>VLOOKUP($H57,'Material impact data'!$E$19:$AM$61,'Material impact data'!AM$15,0)/VLOOKUP($H57,'Material impact data'!$E$19:$AM$61,4,0)*$I57</f>
        <v>0</v>
      </c>
      <c r="AO57" s="187">
        <f>M57/'Building &amp; Material inputs'!$C$18/'Building &amp; Material inputs'!$C$19</f>
        <v>0</v>
      </c>
      <c r="AP57" s="187">
        <f>N57/'Building &amp; Material inputs'!$C$18/'Building &amp; Material inputs'!$C$19</f>
        <v>0</v>
      </c>
      <c r="AQ57" s="139">
        <f>O57/'Building &amp; Material inputs'!$C$18/'Building &amp; Material inputs'!$C$19</f>
        <v>0</v>
      </c>
      <c r="AR57" s="139">
        <f>P57/'Building &amp; Material inputs'!$C$18/'Building &amp; Material inputs'!$C$19</f>
        <v>0</v>
      </c>
      <c r="AS57" s="170">
        <f>Q57/'Building &amp; Material inputs'!$C$18/'Building &amp; Material inputs'!$C$19</f>
        <v>0</v>
      </c>
      <c r="AT57" s="170">
        <f>R57/'Building &amp; Material inputs'!$C$18/'Building &amp; Material inputs'!$C$19</f>
        <v>0</v>
      </c>
      <c r="AU57" s="187">
        <f>S57/'Building &amp; Material inputs'!$C$18/'Building &amp; Material inputs'!$C$19</f>
        <v>0</v>
      </c>
      <c r="AV57" s="187">
        <f>T57/'Building &amp; Material inputs'!$C$18/'Building &amp; Material inputs'!$C$19</f>
        <v>0</v>
      </c>
      <c r="AW57" s="187">
        <f>U57/'Building &amp; Material inputs'!$C$18/'Building &amp; Material inputs'!$C$19</f>
        <v>0</v>
      </c>
      <c r="AX57" s="187">
        <f>V57/'Building &amp; Material inputs'!$C$18/'Building &amp; Material inputs'!$C$19</f>
        <v>0</v>
      </c>
      <c r="AY57" s="187">
        <f>W57/'Building &amp; Material inputs'!$C$18/'Building &amp; Material inputs'!$C$19</f>
        <v>0</v>
      </c>
      <c r="AZ57" s="187">
        <f>X57/'Building &amp; Material inputs'!$C$18/'Building &amp; Material inputs'!$C$19</f>
        <v>0</v>
      </c>
      <c r="BA57" s="187">
        <f>Y57/'Building &amp; Material inputs'!$C$18/'Building &amp; Material inputs'!$C$19</f>
        <v>0</v>
      </c>
      <c r="BB57" s="139">
        <f>Z57/'Building &amp; Material inputs'!$C$18/'Building &amp; Material inputs'!$C$19</f>
        <v>0</v>
      </c>
      <c r="BC57" s="139">
        <f>AA57/'Building &amp; Material inputs'!$C$18/'Building &amp; Material inputs'!$C$19</f>
        <v>0</v>
      </c>
      <c r="BD57" s="139">
        <f>AB57/'Building &amp; Material inputs'!$C$18/'Building &amp; Material inputs'!$C$19</f>
        <v>0</v>
      </c>
      <c r="BE57" s="139">
        <f>AC57/'Building &amp; Material inputs'!$C$18/'Building &amp; Material inputs'!$C$19</f>
        <v>0</v>
      </c>
      <c r="BF57" s="139">
        <f>AD57/'Building &amp; Material inputs'!$C$18/'Building &amp; Material inputs'!$C$19</f>
        <v>0</v>
      </c>
      <c r="BG57" s="139">
        <f>AE57/'Building &amp; Material inputs'!$C$18/'Building &amp; Material inputs'!$C$19</f>
        <v>0</v>
      </c>
      <c r="BH57" s="139">
        <f>AF57/'Building &amp; Material inputs'!$C$18/'Building &amp; Material inputs'!$C$19</f>
        <v>0</v>
      </c>
      <c r="BI57" s="170">
        <f>AG57/'Building &amp; Material inputs'!$C$18/'Building &amp; Material inputs'!$C$19</f>
        <v>0</v>
      </c>
      <c r="BJ57" s="170">
        <f>AH57/'Building &amp; Material inputs'!$C$18/'Building &amp; Material inputs'!$C$19</f>
        <v>0</v>
      </c>
      <c r="BK57" s="170">
        <f>AI57/'Building &amp; Material inputs'!$C$18/'Building &amp; Material inputs'!$C$19</f>
        <v>0</v>
      </c>
      <c r="BL57" s="170">
        <f>AJ57/'Building &amp; Material inputs'!$C$18/'Building &amp; Material inputs'!$C$19</f>
        <v>0</v>
      </c>
      <c r="BM57" s="170">
        <f>AK57/'Building &amp; Material inputs'!$C$18/'Building &amp; Material inputs'!$C$19</f>
        <v>0</v>
      </c>
      <c r="BN57" s="170">
        <f>AL57/'Building &amp; Material inputs'!$C$18/'Building &amp; Material inputs'!$C$19</f>
        <v>0</v>
      </c>
      <c r="BO57" s="170">
        <f>AM57/'Building &amp; Material inputs'!$C$18/'Building &amp; Material inputs'!$C$19</f>
        <v>0</v>
      </c>
    </row>
    <row r="58" spans="2:67" x14ac:dyDescent="0.25">
      <c r="B58" s="334"/>
      <c r="C58" s="320"/>
      <c r="D58" s="305"/>
      <c r="E58" s="324" t="s">
        <v>89</v>
      </c>
      <c r="F58" s="65" t="s">
        <v>135</v>
      </c>
      <c r="G58" s="66" t="s">
        <v>62</v>
      </c>
      <c r="H58" s="7" t="str">
        <f>'Material quantities'!G59</f>
        <v>CLT</v>
      </c>
      <c r="I58" s="38">
        <f>'Material quantities'!O59</f>
        <v>0</v>
      </c>
      <c r="J58" s="68" t="s">
        <v>14</v>
      </c>
      <c r="K58" s="2"/>
      <c r="L58" s="144">
        <f>VLOOKUP($H58,'Material impact data'!$E$19:$AM$61,6,0)/VLOOKUP($H58,'Material impact data'!$E$19:$AM$61,4,0)*$I58</f>
        <v>0</v>
      </c>
      <c r="M58" s="140">
        <f>VLOOKUP($H58,'Material impact data'!$E$19:$AM$61,'Material impact data'!M$15,0)/VLOOKUP($H58,'Material impact data'!$E$19:$AM$61,4,0)*$I58</f>
        <v>0</v>
      </c>
      <c r="N58" s="140">
        <f>VLOOKUP($H58,'Material impact data'!$E$19:$AM$61,'Material impact data'!N$15,0)/VLOOKUP($H58,'Material impact data'!$E$19:$AM$61,4,0)*$I58</f>
        <v>0</v>
      </c>
      <c r="O58" s="185">
        <f>VLOOKUP($H58,'Material impact data'!$E$19:$AM$61,'Material impact data'!O$15,0)/VLOOKUP($H58,'Material impact data'!$E$19:$AM$61,4,0)*$I58</f>
        <v>0</v>
      </c>
      <c r="P58" s="185">
        <f>VLOOKUP($H58,'Material impact data'!$E$19:$AM$61,'Material impact data'!P$15,0)/VLOOKUP($H58,'Material impact data'!$E$19:$AM$61,4,0)*$I58</f>
        <v>0</v>
      </c>
      <c r="Q58" s="186">
        <f>VLOOKUP($H58,'Material impact data'!$E$19:$AM$61,'Material impact data'!Q$15,0)/VLOOKUP($H58,'Material impact data'!$E$19:$AM$61,4,0)*$I58</f>
        <v>0</v>
      </c>
      <c r="R58" s="186">
        <f>VLOOKUP($H58,'Material impact data'!$E$19:$AM$61,'Material impact data'!R$15,0)/VLOOKUP($H58,'Material impact data'!$E$19:$AM$61,4,0)*$I58</f>
        <v>0</v>
      </c>
      <c r="S58" s="140">
        <f>VLOOKUP($H58,'Material impact data'!$E$19:$AM$61,'Material impact data'!S$15,0)/VLOOKUP($H58,'Material impact data'!$E$19:$AM$61,4,0)*$I58</f>
        <v>0</v>
      </c>
      <c r="T58" s="140">
        <f>VLOOKUP($H58,'Material impact data'!$E$19:$AM$61,'Material impact data'!T$15,0)/VLOOKUP($H58,'Material impact data'!$E$19:$AM$61,4,0)*$I58</f>
        <v>0</v>
      </c>
      <c r="U58" s="140">
        <f>VLOOKUP($H58,'Material impact data'!$E$19:$AM$61,'Material impact data'!U$15,0)/VLOOKUP($H58,'Material impact data'!$E$19:$AM$61,4,0)*$I58</f>
        <v>0</v>
      </c>
      <c r="V58" s="140">
        <f>VLOOKUP($H58,'Material impact data'!$E$19:$AM$61,'Material impact data'!V$15,0)/VLOOKUP($H58,'Material impact data'!$E$19:$AM$61,4,0)*$I58</f>
        <v>0</v>
      </c>
      <c r="W58" s="140">
        <f>VLOOKUP($H58,'Material impact data'!$E$19:$AM$61,'Material impact data'!W$15,0)/VLOOKUP($H58,'Material impact data'!$E$19:$AM$61,4,0)*$I58</f>
        <v>0</v>
      </c>
      <c r="X58" s="140">
        <f>VLOOKUP($H58,'Material impact data'!$E$19:$AM$61,'Material impact data'!X$15,0)/VLOOKUP($H58,'Material impact data'!$E$19:$AM$61,4,0)*$I58</f>
        <v>0</v>
      </c>
      <c r="Y58" s="140">
        <f>VLOOKUP($H58,'Material impact data'!$E$19:$AM$61,'Material impact data'!Y$15,0)/VLOOKUP($H58,'Material impact data'!$E$19:$AM$61,4,0)*$I58</f>
        <v>0</v>
      </c>
      <c r="Z58" s="185">
        <f>VLOOKUP($H58,'Material impact data'!$E$19:$AM$61,'Material impact data'!Z$15,0)/VLOOKUP($H58,'Material impact data'!$E$19:$AM$61,4,0)*$I58</f>
        <v>0</v>
      </c>
      <c r="AA58" s="185">
        <f>VLOOKUP($H58,'Material impact data'!$E$19:$AM$61,'Material impact data'!AA$15,0)/VLOOKUP($H58,'Material impact data'!$E$19:$AM$61,4,0)*$I58</f>
        <v>0</v>
      </c>
      <c r="AB58" s="185">
        <f>VLOOKUP($H58,'Material impact data'!$E$19:$AM$61,'Material impact data'!AB$15,0)/VLOOKUP($H58,'Material impact data'!$E$19:$AM$61,4,0)*$I58</f>
        <v>0</v>
      </c>
      <c r="AC58" s="185">
        <f>VLOOKUP($H58,'Material impact data'!$E$19:$AM$61,'Material impact data'!AC$15,0)/VLOOKUP($H58,'Material impact data'!$E$19:$AM$61,4,0)*$I58</f>
        <v>0</v>
      </c>
      <c r="AD58" s="185">
        <f>VLOOKUP($H58,'Material impact data'!$E$19:$AM$61,'Material impact data'!AD$15,0)/VLOOKUP($H58,'Material impact data'!$E$19:$AM$61,4,0)*$I58</f>
        <v>0</v>
      </c>
      <c r="AE58" s="185">
        <f>VLOOKUP($H58,'Material impact data'!$E$19:$AM$61,'Material impact data'!AE$15,0)/VLOOKUP($H58,'Material impact data'!$E$19:$AM$61,4,0)*$I58</f>
        <v>0</v>
      </c>
      <c r="AF58" s="185">
        <f>VLOOKUP($H58,'Material impact data'!$E$19:$AM$61,'Material impact data'!AF$15,0)/VLOOKUP($H58,'Material impact data'!$E$19:$AM$61,4,0)*$I58</f>
        <v>0</v>
      </c>
      <c r="AG58" s="186">
        <f>VLOOKUP($H58,'Material impact data'!$E$19:$AM$61,'Material impact data'!AG$15,0)/VLOOKUP($H58,'Material impact data'!$E$19:$AM$61,4,0)*$I58</f>
        <v>0</v>
      </c>
      <c r="AH58" s="186">
        <f>VLOOKUP($H58,'Material impact data'!$E$19:$AM$61,'Material impact data'!AH$15,0)/VLOOKUP($H58,'Material impact data'!$E$19:$AM$61,4,0)*$I58</f>
        <v>0</v>
      </c>
      <c r="AI58" s="186">
        <f>VLOOKUP($H58,'Material impact data'!$E$19:$AM$61,'Material impact data'!AI$15,0)/VLOOKUP($H58,'Material impact data'!$E$19:$AM$61,4,0)*$I58</f>
        <v>0</v>
      </c>
      <c r="AJ58" s="186">
        <f>VLOOKUP($H58,'Material impact data'!$E$19:$AM$61,'Material impact data'!AJ$15,0)/VLOOKUP($H58,'Material impact data'!$E$19:$AM$61,4,0)*$I58</f>
        <v>0</v>
      </c>
      <c r="AK58" s="186">
        <f>VLOOKUP($H58,'Material impact data'!$E$19:$AM$61,'Material impact data'!AK$15,0)/VLOOKUP($H58,'Material impact data'!$E$19:$AM$61,4,0)*$I58</f>
        <v>0</v>
      </c>
      <c r="AL58" s="186">
        <f>VLOOKUP($H58,'Material impact data'!$E$19:$AM$61,'Material impact data'!AL$15,0)/VLOOKUP($H58,'Material impact data'!$E$19:$AM$61,4,0)*$I58</f>
        <v>0</v>
      </c>
      <c r="AM58" s="186">
        <f>VLOOKUP($H58,'Material impact data'!$E$19:$AM$61,'Material impact data'!AM$15,0)/VLOOKUP($H58,'Material impact data'!$E$19:$AM$61,4,0)*$I58</f>
        <v>0</v>
      </c>
      <c r="AO58" s="187">
        <f>M58/'Building &amp; Material inputs'!$C$18/'Building &amp; Material inputs'!$C$19</f>
        <v>0</v>
      </c>
      <c r="AP58" s="187">
        <f>N58/'Building &amp; Material inputs'!$C$18/'Building &amp; Material inputs'!$C$19</f>
        <v>0</v>
      </c>
      <c r="AQ58" s="139">
        <f>O58/'Building &amp; Material inputs'!$C$18/'Building &amp; Material inputs'!$C$19</f>
        <v>0</v>
      </c>
      <c r="AR58" s="139">
        <f>P58/'Building &amp; Material inputs'!$C$18/'Building &amp; Material inputs'!$C$19</f>
        <v>0</v>
      </c>
      <c r="AS58" s="170">
        <f>Q58/'Building &amp; Material inputs'!$C$18/'Building &amp; Material inputs'!$C$19</f>
        <v>0</v>
      </c>
      <c r="AT58" s="170">
        <f>R58/'Building &amp; Material inputs'!$C$18/'Building &amp; Material inputs'!$C$19</f>
        <v>0</v>
      </c>
      <c r="AU58" s="187">
        <f>S58/'Building &amp; Material inputs'!$C$18/'Building &amp; Material inputs'!$C$19</f>
        <v>0</v>
      </c>
      <c r="AV58" s="187">
        <f>T58/'Building &amp; Material inputs'!$C$18/'Building &amp; Material inputs'!$C$19</f>
        <v>0</v>
      </c>
      <c r="AW58" s="187">
        <f>U58/'Building &amp; Material inputs'!$C$18/'Building &amp; Material inputs'!$C$19</f>
        <v>0</v>
      </c>
      <c r="AX58" s="187">
        <f>V58/'Building &amp; Material inputs'!$C$18/'Building &amp; Material inputs'!$C$19</f>
        <v>0</v>
      </c>
      <c r="AY58" s="187">
        <f>W58/'Building &amp; Material inputs'!$C$18/'Building &amp; Material inputs'!$C$19</f>
        <v>0</v>
      </c>
      <c r="AZ58" s="187">
        <f>X58/'Building &amp; Material inputs'!$C$18/'Building &amp; Material inputs'!$C$19</f>
        <v>0</v>
      </c>
      <c r="BA58" s="187">
        <f>Y58/'Building &amp; Material inputs'!$C$18/'Building &amp; Material inputs'!$C$19</f>
        <v>0</v>
      </c>
      <c r="BB58" s="139">
        <f>Z58/'Building &amp; Material inputs'!$C$18/'Building &amp; Material inputs'!$C$19</f>
        <v>0</v>
      </c>
      <c r="BC58" s="139">
        <f>AA58/'Building &amp; Material inputs'!$C$18/'Building &amp; Material inputs'!$C$19</f>
        <v>0</v>
      </c>
      <c r="BD58" s="139">
        <f>AB58/'Building &amp; Material inputs'!$C$18/'Building &amp; Material inputs'!$C$19</f>
        <v>0</v>
      </c>
      <c r="BE58" s="139">
        <f>AC58/'Building &amp; Material inputs'!$C$18/'Building &amp; Material inputs'!$C$19</f>
        <v>0</v>
      </c>
      <c r="BF58" s="139">
        <f>AD58/'Building &amp; Material inputs'!$C$18/'Building &amp; Material inputs'!$C$19</f>
        <v>0</v>
      </c>
      <c r="BG58" s="139">
        <f>AE58/'Building &amp; Material inputs'!$C$18/'Building &amp; Material inputs'!$C$19</f>
        <v>0</v>
      </c>
      <c r="BH58" s="139">
        <f>AF58/'Building &amp; Material inputs'!$C$18/'Building &amp; Material inputs'!$C$19</f>
        <v>0</v>
      </c>
      <c r="BI58" s="170">
        <f>AG58/'Building &amp; Material inputs'!$C$18/'Building &amp; Material inputs'!$C$19</f>
        <v>0</v>
      </c>
      <c r="BJ58" s="170">
        <f>AH58/'Building &amp; Material inputs'!$C$18/'Building &amp; Material inputs'!$C$19</f>
        <v>0</v>
      </c>
      <c r="BK58" s="170">
        <f>AI58/'Building &amp; Material inputs'!$C$18/'Building &amp; Material inputs'!$C$19</f>
        <v>0</v>
      </c>
      <c r="BL58" s="170">
        <f>AJ58/'Building &amp; Material inputs'!$C$18/'Building &amp; Material inputs'!$C$19</f>
        <v>0</v>
      </c>
      <c r="BM58" s="170">
        <f>AK58/'Building &amp; Material inputs'!$C$18/'Building &amp; Material inputs'!$C$19</f>
        <v>0</v>
      </c>
      <c r="BN58" s="170">
        <f>AL58/'Building &amp; Material inputs'!$C$18/'Building &amp; Material inputs'!$C$19</f>
        <v>0</v>
      </c>
      <c r="BO58" s="170">
        <f>AM58/'Building &amp; Material inputs'!$C$18/'Building &amp; Material inputs'!$C$19</f>
        <v>0</v>
      </c>
    </row>
    <row r="59" spans="2:67" x14ac:dyDescent="0.25">
      <c r="B59" s="334"/>
      <c r="C59" s="320"/>
      <c r="D59" s="305"/>
      <c r="E59" s="357"/>
      <c r="F59" s="65" t="s">
        <v>136</v>
      </c>
      <c r="G59" s="66" t="s">
        <v>605</v>
      </c>
      <c r="H59" s="7" t="str">
        <f>'Material quantities'!G60</f>
        <v>ST-G</v>
      </c>
      <c r="I59" s="38"/>
      <c r="J59" s="68" t="s">
        <v>15</v>
      </c>
      <c r="K59" s="2"/>
      <c r="L59" s="144">
        <f>VLOOKUP($H59,'Material impact data'!$E$19:$AM$61,6,0)/VLOOKUP($H59,'Material impact data'!$E$19:$AM$61,4,0)*$I59</f>
        <v>0</v>
      </c>
      <c r="M59" s="140">
        <f>VLOOKUP($H59,'Material impact data'!$E$19:$AM$61,'Material impact data'!M$15,0)/VLOOKUP($H59,'Material impact data'!$E$19:$AM$61,4,0)*$I59</f>
        <v>0</v>
      </c>
      <c r="N59" s="140">
        <f>VLOOKUP($H59,'Material impact data'!$E$19:$AM$61,'Material impact data'!N$15,0)/VLOOKUP($H59,'Material impact data'!$E$19:$AM$61,4,0)*$I59</f>
        <v>0</v>
      </c>
      <c r="O59" s="185">
        <f>VLOOKUP($H59,'Material impact data'!$E$19:$AM$61,'Material impact data'!O$15,0)/VLOOKUP($H59,'Material impact data'!$E$19:$AM$61,4,0)*$I59</f>
        <v>0</v>
      </c>
      <c r="P59" s="185">
        <f>VLOOKUP($H59,'Material impact data'!$E$19:$AM$61,'Material impact data'!P$15,0)/VLOOKUP($H59,'Material impact data'!$E$19:$AM$61,4,0)*$I59</f>
        <v>0</v>
      </c>
      <c r="Q59" s="186">
        <f>VLOOKUP($H59,'Material impact data'!$E$19:$AM$61,'Material impact data'!Q$15,0)/VLOOKUP($H59,'Material impact data'!$E$19:$AM$61,4,0)*$I59</f>
        <v>0</v>
      </c>
      <c r="R59" s="186">
        <f>VLOOKUP($H59,'Material impact data'!$E$19:$AM$61,'Material impact data'!R$15,0)/VLOOKUP($H59,'Material impact data'!$E$19:$AM$61,4,0)*$I59</f>
        <v>0</v>
      </c>
      <c r="S59" s="140">
        <f>VLOOKUP($H59,'Material impact data'!$E$19:$AM$61,'Material impact data'!S$15,0)/VLOOKUP($H59,'Material impact data'!$E$19:$AM$61,4,0)*$I59</f>
        <v>0</v>
      </c>
      <c r="T59" s="140">
        <f>VLOOKUP($H59,'Material impact data'!$E$19:$AM$61,'Material impact data'!T$15,0)/VLOOKUP($H59,'Material impact data'!$E$19:$AM$61,4,0)*$I59</f>
        <v>0</v>
      </c>
      <c r="U59" s="140">
        <f>VLOOKUP($H59,'Material impact data'!$E$19:$AM$61,'Material impact data'!U$15,0)/VLOOKUP($H59,'Material impact data'!$E$19:$AM$61,4,0)*$I59</f>
        <v>0</v>
      </c>
      <c r="V59" s="140">
        <f>VLOOKUP($H59,'Material impact data'!$E$19:$AM$61,'Material impact data'!V$15,0)/VLOOKUP($H59,'Material impact data'!$E$19:$AM$61,4,0)*$I59</f>
        <v>0</v>
      </c>
      <c r="W59" s="140">
        <f>VLOOKUP($H59,'Material impact data'!$E$19:$AM$61,'Material impact data'!W$15,0)/VLOOKUP($H59,'Material impact data'!$E$19:$AM$61,4,0)*$I59</f>
        <v>0</v>
      </c>
      <c r="X59" s="140">
        <f>VLOOKUP($H59,'Material impact data'!$E$19:$AM$61,'Material impact data'!X$15,0)/VLOOKUP($H59,'Material impact data'!$E$19:$AM$61,4,0)*$I59</f>
        <v>0</v>
      </c>
      <c r="Y59" s="140">
        <f>VLOOKUP($H59,'Material impact data'!$E$19:$AM$61,'Material impact data'!Y$15,0)/VLOOKUP($H59,'Material impact data'!$E$19:$AM$61,4,0)*$I59</f>
        <v>0</v>
      </c>
      <c r="Z59" s="185">
        <f>VLOOKUP($H59,'Material impact data'!$E$19:$AM$61,'Material impact data'!Z$15,0)/VLOOKUP($H59,'Material impact data'!$E$19:$AM$61,4,0)*$I59</f>
        <v>0</v>
      </c>
      <c r="AA59" s="185">
        <f>VLOOKUP($H59,'Material impact data'!$E$19:$AM$61,'Material impact data'!AA$15,0)/VLOOKUP($H59,'Material impact data'!$E$19:$AM$61,4,0)*$I59</f>
        <v>0</v>
      </c>
      <c r="AB59" s="185">
        <f>VLOOKUP($H59,'Material impact data'!$E$19:$AM$61,'Material impact data'!AB$15,0)/VLOOKUP($H59,'Material impact data'!$E$19:$AM$61,4,0)*$I59</f>
        <v>0</v>
      </c>
      <c r="AC59" s="185">
        <f>VLOOKUP($H59,'Material impact data'!$E$19:$AM$61,'Material impact data'!AC$15,0)/VLOOKUP($H59,'Material impact data'!$E$19:$AM$61,4,0)*$I59</f>
        <v>0</v>
      </c>
      <c r="AD59" s="185">
        <f>VLOOKUP($H59,'Material impact data'!$E$19:$AM$61,'Material impact data'!AD$15,0)/VLOOKUP($H59,'Material impact data'!$E$19:$AM$61,4,0)*$I59</f>
        <v>0</v>
      </c>
      <c r="AE59" s="185">
        <f>VLOOKUP($H59,'Material impact data'!$E$19:$AM$61,'Material impact data'!AE$15,0)/VLOOKUP($H59,'Material impact data'!$E$19:$AM$61,4,0)*$I59</f>
        <v>0</v>
      </c>
      <c r="AF59" s="185">
        <f>VLOOKUP($H59,'Material impact data'!$E$19:$AM$61,'Material impact data'!AF$15,0)/VLOOKUP($H59,'Material impact data'!$E$19:$AM$61,4,0)*$I59</f>
        <v>0</v>
      </c>
      <c r="AG59" s="186">
        <f>VLOOKUP($H59,'Material impact data'!$E$19:$AM$61,'Material impact data'!AG$15,0)/VLOOKUP($H59,'Material impact data'!$E$19:$AM$61,4,0)*$I59</f>
        <v>0</v>
      </c>
      <c r="AH59" s="186">
        <f>VLOOKUP($H59,'Material impact data'!$E$19:$AM$61,'Material impact data'!AH$15,0)/VLOOKUP($H59,'Material impact data'!$E$19:$AM$61,4,0)*$I59</f>
        <v>0</v>
      </c>
      <c r="AI59" s="186">
        <f>VLOOKUP($H59,'Material impact data'!$E$19:$AM$61,'Material impact data'!AI$15,0)/VLOOKUP($H59,'Material impact data'!$E$19:$AM$61,4,0)*$I59</f>
        <v>0</v>
      </c>
      <c r="AJ59" s="186">
        <f>VLOOKUP($H59,'Material impact data'!$E$19:$AM$61,'Material impact data'!AJ$15,0)/VLOOKUP($H59,'Material impact data'!$E$19:$AM$61,4,0)*$I59</f>
        <v>0</v>
      </c>
      <c r="AK59" s="186">
        <f>VLOOKUP($H59,'Material impact data'!$E$19:$AM$61,'Material impact data'!AK$15,0)/VLOOKUP($H59,'Material impact data'!$E$19:$AM$61,4,0)*$I59</f>
        <v>0</v>
      </c>
      <c r="AL59" s="186">
        <f>VLOOKUP($H59,'Material impact data'!$E$19:$AM$61,'Material impact data'!AL$15,0)/VLOOKUP($H59,'Material impact data'!$E$19:$AM$61,4,0)*$I59</f>
        <v>0</v>
      </c>
      <c r="AM59" s="186">
        <f>VLOOKUP($H59,'Material impact data'!$E$19:$AM$61,'Material impact data'!AM$15,0)/VLOOKUP($H59,'Material impact data'!$E$19:$AM$61,4,0)*$I59</f>
        <v>0</v>
      </c>
      <c r="AO59" s="187">
        <f>M59/'Building &amp; Material inputs'!$C$18/'Building &amp; Material inputs'!$C$19</f>
        <v>0</v>
      </c>
      <c r="AP59" s="187">
        <f>N59/'Building &amp; Material inputs'!$C$18/'Building &amp; Material inputs'!$C$19</f>
        <v>0</v>
      </c>
      <c r="AQ59" s="139">
        <f>O59/'Building &amp; Material inputs'!$C$18/'Building &amp; Material inputs'!$C$19</f>
        <v>0</v>
      </c>
      <c r="AR59" s="139">
        <f>P59/'Building &amp; Material inputs'!$C$18/'Building &amp; Material inputs'!$C$19</f>
        <v>0</v>
      </c>
      <c r="AS59" s="170">
        <f>Q59/'Building &amp; Material inputs'!$C$18/'Building &amp; Material inputs'!$C$19</f>
        <v>0</v>
      </c>
      <c r="AT59" s="170">
        <f>R59/'Building &amp; Material inputs'!$C$18/'Building &amp; Material inputs'!$C$19</f>
        <v>0</v>
      </c>
      <c r="AU59" s="187">
        <f>S59/'Building &amp; Material inputs'!$C$18/'Building &amp; Material inputs'!$C$19</f>
        <v>0</v>
      </c>
      <c r="AV59" s="187">
        <f>T59/'Building &amp; Material inputs'!$C$18/'Building &amp; Material inputs'!$C$19</f>
        <v>0</v>
      </c>
      <c r="AW59" s="187">
        <f>U59/'Building &amp; Material inputs'!$C$18/'Building &amp; Material inputs'!$C$19</f>
        <v>0</v>
      </c>
      <c r="AX59" s="187">
        <f>V59/'Building &amp; Material inputs'!$C$18/'Building &amp; Material inputs'!$C$19</f>
        <v>0</v>
      </c>
      <c r="AY59" s="187">
        <f>W59/'Building &amp; Material inputs'!$C$18/'Building &amp; Material inputs'!$C$19</f>
        <v>0</v>
      </c>
      <c r="AZ59" s="187">
        <f>X59/'Building &amp; Material inputs'!$C$18/'Building &amp; Material inputs'!$C$19</f>
        <v>0</v>
      </c>
      <c r="BA59" s="187">
        <f>Y59/'Building &amp; Material inputs'!$C$18/'Building &amp; Material inputs'!$C$19</f>
        <v>0</v>
      </c>
      <c r="BB59" s="139">
        <f>Z59/'Building &amp; Material inputs'!$C$18/'Building &amp; Material inputs'!$C$19</f>
        <v>0</v>
      </c>
      <c r="BC59" s="139">
        <f>AA59/'Building &amp; Material inputs'!$C$18/'Building &amp; Material inputs'!$C$19</f>
        <v>0</v>
      </c>
      <c r="BD59" s="139">
        <f>AB59/'Building &amp; Material inputs'!$C$18/'Building &amp; Material inputs'!$C$19</f>
        <v>0</v>
      </c>
      <c r="BE59" s="139">
        <f>AC59/'Building &amp; Material inputs'!$C$18/'Building &amp; Material inputs'!$C$19</f>
        <v>0</v>
      </c>
      <c r="BF59" s="139">
        <f>AD59/'Building &amp; Material inputs'!$C$18/'Building &amp; Material inputs'!$C$19</f>
        <v>0</v>
      </c>
      <c r="BG59" s="139">
        <f>AE59/'Building &amp; Material inputs'!$C$18/'Building &amp; Material inputs'!$C$19</f>
        <v>0</v>
      </c>
      <c r="BH59" s="139">
        <f>AF59/'Building &amp; Material inputs'!$C$18/'Building &amp; Material inputs'!$C$19</f>
        <v>0</v>
      </c>
      <c r="BI59" s="170">
        <f>AG59/'Building &amp; Material inputs'!$C$18/'Building &amp; Material inputs'!$C$19</f>
        <v>0</v>
      </c>
      <c r="BJ59" s="170">
        <f>AH59/'Building &amp; Material inputs'!$C$18/'Building &amp; Material inputs'!$C$19</f>
        <v>0</v>
      </c>
      <c r="BK59" s="170">
        <f>AI59/'Building &amp; Material inputs'!$C$18/'Building &amp; Material inputs'!$C$19</f>
        <v>0</v>
      </c>
      <c r="BL59" s="170">
        <f>AJ59/'Building &amp; Material inputs'!$C$18/'Building &amp; Material inputs'!$C$19</f>
        <v>0</v>
      </c>
      <c r="BM59" s="170">
        <f>AK59/'Building &amp; Material inputs'!$C$18/'Building &amp; Material inputs'!$C$19</f>
        <v>0</v>
      </c>
      <c r="BN59" s="170">
        <f>AL59/'Building &amp; Material inputs'!$C$18/'Building &amp; Material inputs'!$C$19</f>
        <v>0</v>
      </c>
      <c r="BO59" s="170">
        <f>AM59/'Building &amp; Material inputs'!$C$18/'Building &amp; Material inputs'!$C$19</f>
        <v>0</v>
      </c>
    </row>
    <row r="60" spans="2:67" x14ac:dyDescent="0.25">
      <c r="B60" s="334"/>
      <c r="C60" s="320"/>
      <c r="D60" s="306"/>
      <c r="E60" s="325"/>
      <c r="F60" s="65" t="s">
        <v>607</v>
      </c>
      <c r="G60" s="66" t="s">
        <v>484</v>
      </c>
      <c r="H60" s="7" t="str">
        <f>'Material quantities'!G60</f>
        <v>ST-G</v>
      </c>
      <c r="I60" s="38">
        <f>'Material quantities'!O60</f>
        <v>0</v>
      </c>
      <c r="J60" s="68" t="s">
        <v>15</v>
      </c>
      <c r="K60" s="2"/>
      <c r="L60" s="144">
        <f>VLOOKUP($H60,'Material impact data'!$E$19:$AM$61,6,0)/VLOOKUP($H60,'Material impact data'!$E$19:$AM$61,4,0)*$I60</f>
        <v>0</v>
      </c>
      <c r="M60" s="140">
        <f>VLOOKUP($H60,'Material impact data'!$E$19:$AM$61,'Material impact data'!M$15,0)/VLOOKUP($H60,'Material impact data'!$E$19:$AM$61,4,0)*$I60</f>
        <v>0</v>
      </c>
      <c r="N60" s="140">
        <f>VLOOKUP($H60,'Material impact data'!$E$19:$AM$61,'Material impact data'!N$15,0)/VLOOKUP($H60,'Material impact data'!$E$19:$AM$61,4,0)*$I60</f>
        <v>0</v>
      </c>
      <c r="O60" s="185">
        <f>VLOOKUP($H60,'Material impact data'!$E$19:$AM$61,'Material impact data'!O$15,0)/VLOOKUP($H60,'Material impact data'!$E$19:$AM$61,4,0)*$I60</f>
        <v>0</v>
      </c>
      <c r="P60" s="185">
        <f>VLOOKUP($H60,'Material impact data'!$E$19:$AM$61,'Material impact data'!P$15,0)/VLOOKUP($H60,'Material impact data'!$E$19:$AM$61,4,0)*$I60</f>
        <v>0</v>
      </c>
      <c r="Q60" s="186">
        <f>VLOOKUP($H60,'Material impact data'!$E$19:$AM$61,'Material impact data'!Q$15,0)/VLOOKUP($H60,'Material impact data'!$E$19:$AM$61,4,0)*$I60</f>
        <v>0</v>
      </c>
      <c r="R60" s="186">
        <f>VLOOKUP($H60,'Material impact data'!$E$19:$AM$61,'Material impact data'!R$15,0)/VLOOKUP($H60,'Material impact data'!$E$19:$AM$61,4,0)*$I60</f>
        <v>0</v>
      </c>
      <c r="S60" s="140">
        <f>VLOOKUP($H60,'Material impact data'!$E$19:$AM$61,'Material impact data'!S$15,0)/VLOOKUP($H60,'Material impact data'!$E$19:$AM$61,4,0)*$I60</f>
        <v>0</v>
      </c>
      <c r="T60" s="140">
        <f>VLOOKUP($H60,'Material impact data'!$E$19:$AM$61,'Material impact data'!T$15,0)/VLOOKUP($H60,'Material impact data'!$E$19:$AM$61,4,0)*$I60</f>
        <v>0</v>
      </c>
      <c r="U60" s="140">
        <f>VLOOKUP($H60,'Material impact data'!$E$19:$AM$61,'Material impact data'!U$15,0)/VLOOKUP($H60,'Material impact data'!$E$19:$AM$61,4,0)*$I60</f>
        <v>0</v>
      </c>
      <c r="V60" s="140">
        <f>VLOOKUP($H60,'Material impact data'!$E$19:$AM$61,'Material impact data'!V$15,0)/VLOOKUP($H60,'Material impact data'!$E$19:$AM$61,4,0)*$I60</f>
        <v>0</v>
      </c>
      <c r="W60" s="140">
        <f>VLOOKUP($H60,'Material impact data'!$E$19:$AM$61,'Material impact data'!W$15,0)/VLOOKUP($H60,'Material impact data'!$E$19:$AM$61,4,0)*$I60</f>
        <v>0</v>
      </c>
      <c r="X60" s="140">
        <f>VLOOKUP($H60,'Material impact data'!$E$19:$AM$61,'Material impact data'!X$15,0)/VLOOKUP($H60,'Material impact data'!$E$19:$AM$61,4,0)*$I60</f>
        <v>0</v>
      </c>
      <c r="Y60" s="140">
        <f>VLOOKUP($H60,'Material impact data'!$E$19:$AM$61,'Material impact data'!Y$15,0)/VLOOKUP($H60,'Material impact data'!$E$19:$AM$61,4,0)*$I60</f>
        <v>0</v>
      </c>
      <c r="Z60" s="185">
        <f>VLOOKUP($H60,'Material impact data'!$E$19:$AM$61,'Material impact data'!Z$15,0)/VLOOKUP($H60,'Material impact data'!$E$19:$AM$61,4,0)*$I60</f>
        <v>0</v>
      </c>
      <c r="AA60" s="185">
        <f>VLOOKUP($H60,'Material impact data'!$E$19:$AM$61,'Material impact data'!AA$15,0)/VLOOKUP($H60,'Material impact data'!$E$19:$AM$61,4,0)*$I60</f>
        <v>0</v>
      </c>
      <c r="AB60" s="185">
        <f>VLOOKUP($H60,'Material impact data'!$E$19:$AM$61,'Material impact data'!AB$15,0)/VLOOKUP($H60,'Material impact data'!$E$19:$AM$61,4,0)*$I60</f>
        <v>0</v>
      </c>
      <c r="AC60" s="185">
        <f>VLOOKUP($H60,'Material impact data'!$E$19:$AM$61,'Material impact data'!AC$15,0)/VLOOKUP($H60,'Material impact data'!$E$19:$AM$61,4,0)*$I60</f>
        <v>0</v>
      </c>
      <c r="AD60" s="185">
        <f>VLOOKUP($H60,'Material impact data'!$E$19:$AM$61,'Material impact data'!AD$15,0)/VLOOKUP($H60,'Material impact data'!$E$19:$AM$61,4,0)*$I60</f>
        <v>0</v>
      </c>
      <c r="AE60" s="185">
        <f>VLOOKUP($H60,'Material impact data'!$E$19:$AM$61,'Material impact data'!AE$15,0)/VLOOKUP($H60,'Material impact data'!$E$19:$AM$61,4,0)*$I60</f>
        <v>0</v>
      </c>
      <c r="AF60" s="185">
        <f>VLOOKUP($H60,'Material impact data'!$E$19:$AM$61,'Material impact data'!AF$15,0)/VLOOKUP($H60,'Material impact data'!$E$19:$AM$61,4,0)*$I60</f>
        <v>0</v>
      </c>
      <c r="AG60" s="186">
        <f>VLOOKUP($H60,'Material impact data'!$E$19:$AM$61,'Material impact data'!AG$15,0)/VLOOKUP($H60,'Material impact data'!$E$19:$AM$61,4,0)*$I60</f>
        <v>0</v>
      </c>
      <c r="AH60" s="186">
        <f>VLOOKUP($H60,'Material impact data'!$E$19:$AM$61,'Material impact data'!AH$15,0)/VLOOKUP($H60,'Material impact data'!$E$19:$AM$61,4,0)*$I60</f>
        <v>0</v>
      </c>
      <c r="AI60" s="186">
        <f>VLOOKUP($H60,'Material impact data'!$E$19:$AM$61,'Material impact data'!AI$15,0)/VLOOKUP($H60,'Material impact data'!$E$19:$AM$61,4,0)*$I60</f>
        <v>0</v>
      </c>
      <c r="AJ60" s="186">
        <f>VLOOKUP($H60,'Material impact data'!$E$19:$AM$61,'Material impact data'!AJ$15,0)/VLOOKUP($H60,'Material impact data'!$E$19:$AM$61,4,0)*$I60</f>
        <v>0</v>
      </c>
      <c r="AK60" s="186">
        <f>VLOOKUP($H60,'Material impact data'!$E$19:$AM$61,'Material impact data'!AK$15,0)/VLOOKUP($H60,'Material impact data'!$E$19:$AM$61,4,0)*$I60</f>
        <v>0</v>
      </c>
      <c r="AL60" s="186">
        <f>VLOOKUP($H60,'Material impact data'!$E$19:$AM$61,'Material impact data'!AL$15,0)/VLOOKUP($H60,'Material impact data'!$E$19:$AM$61,4,0)*$I60</f>
        <v>0</v>
      </c>
      <c r="AM60" s="186">
        <f>VLOOKUP($H60,'Material impact data'!$E$19:$AM$61,'Material impact data'!AM$15,0)/VLOOKUP($H60,'Material impact data'!$E$19:$AM$61,4,0)*$I60</f>
        <v>0</v>
      </c>
      <c r="AO60" s="187">
        <f>M60/'Building &amp; Material inputs'!$C$18/'Building &amp; Material inputs'!$C$19</f>
        <v>0</v>
      </c>
      <c r="AP60" s="187">
        <f>N60/'Building &amp; Material inputs'!$C$18/'Building &amp; Material inputs'!$C$19</f>
        <v>0</v>
      </c>
      <c r="AQ60" s="139">
        <f>O60/'Building &amp; Material inputs'!$C$18/'Building &amp; Material inputs'!$C$19</f>
        <v>0</v>
      </c>
      <c r="AR60" s="139">
        <f>P60/'Building &amp; Material inputs'!$C$18/'Building &amp; Material inputs'!$C$19</f>
        <v>0</v>
      </c>
      <c r="AS60" s="170">
        <f>Q60/'Building &amp; Material inputs'!$C$18/'Building &amp; Material inputs'!$C$19</f>
        <v>0</v>
      </c>
      <c r="AT60" s="170">
        <f>R60/'Building &amp; Material inputs'!$C$18/'Building &amp; Material inputs'!$C$19</f>
        <v>0</v>
      </c>
      <c r="AU60" s="187">
        <f>S60/'Building &amp; Material inputs'!$C$18/'Building &amp; Material inputs'!$C$19</f>
        <v>0</v>
      </c>
      <c r="AV60" s="187">
        <f>T60/'Building &amp; Material inputs'!$C$18/'Building &amp; Material inputs'!$C$19</f>
        <v>0</v>
      </c>
      <c r="AW60" s="187">
        <f>U60/'Building &amp; Material inputs'!$C$18/'Building &amp; Material inputs'!$C$19</f>
        <v>0</v>
      </c>
      <c r="AX60" s="187">
        <f>V60/'Building &amp; Material inputs'!$C$18/'Building &amp; Material inputs'!$C$19</f>
        <v>0</v>
      </c>
      <c r="AY60" s="187">
        <f>W60/'Building &amp; Material inputs'!$C$18/'Building &amp; Material inputs'!$C$19</f>
        <v>0</v>
      </c>
      <c r="AZ60" s="187">
        <f>X60/'Building &amp; Material inputs'!$C$18/'Building &amp; Material inputs'!$C$19</f>
        <v>0</v>
      </c>
      <c r="BA60" s="187">
        <f>Y60/'Building &amp; Material inputs'!$C$18/'Building &amp; Material inputs'!$C$19</f>
        <v>0</v>
      </c>
      <c r="BB60" s="139">
        <f>Z60/'Building &amp; Material inputs'!$C$18/'Building &amp; Material inputs'!$C$19</f>
        <v>0</v>
      </c>
      <c r="BC60" s="139">
        <f>AA60/'Building &amp; Material inputs'!$C$18/'Building &amp; Material inputs'!$C$19</f>
        <v>0</v>
      </c>
      <c r="BD60" s="139">
        <f>AB60/'Building &amp; Material inputs'!$C$18/'Building &amp; Material inputs'!$C$19</f>
        <v>0</v>
      </c>
      <c r="BE60" s="139">
        <f>AC60/'Building &amp; Material inputs'!$C$18/'Building &amp; Material inputs'!$C$19</f>
        <v>0</v>
      </c>
      <c r="BF60" s="139">
        <f>AD60/'Building &amp; Material inputs'!$C$18/'Building &amp; Material inputs'!$C$19</f>
        <v>0</v>
      </c>
      <c r="BG60" s="139">
        <f>AE60/'Building &amp; Material inputs'!$C$18/'Building &amp; Material inputs'!$C$19</f>
        <v>0</v>
      </c>
      <c r="BH60" s="139">
        <f>AF60/'Building &amp; Material inputs'!$C$18/'Building &amp; Material inputs'!$C$19</f>
        <v>0</v>
      </c>
      <c r="BI60" s="170">
        <f>AG60/'Building &amp; Material inputs'!$C$18/'Building &amp; Material inputs'!$C$19</f>
        <v>0</v>
      </c>
      <c r="BJ60" s="170">
        <f>AH60/'Building &amp; Material inputs'!$C$18/'Building &amp; Material inputs'!$C$19</f>
        <v>0</v>
      </c>
      <c r="BK60" s="170">
        <f>AI60/'Building &amp; Material inputs'!$C$18/'Building &amp; Material inputs'!$C$19</f>
        <v>0</v>
      </c>
      <c r="BL60" s="170">
        <f>AJ60/'Building &amp; Material inputs'!$C$18/'Building &amp; Material inputs'!$C$19</f>
        <v>0</v>
      </c>
      <c r="BM60" s="170">
        <f>AK60/'Building &amp; Material inputs'!$C$18/'Building &amp; Material inputs'!$C$19</f>
        <v>0</v>
      </c>
      <c r="BN60" s="170">
        <f>AL60/'Building &amp; Material inputs'!$C$18/'Building &amp; Material inputs'!$C$19</f>
        <v>0</v>
      </c>
      <c r="BO60" s="170">
        <f>AM60/'Building &amp; Material inputs'!$C$18/'Building &amp; Material inputs'!$C$19</f>
        <v>0</v>
      </c>
    </row>
    <row r="61" spans="2:67" x14ac:dyDescent="0.25">
      <c r="B61" s="334"/>
      <c r="C61" s="320"/>
      <c r="D61" s="318" t="s">
        <v>86</v>
      </c>
      <c r="E61" s="319"/>
      <c r="F61" s="8" t="s">
        <v>137</v>
      </c>
      <c r="G61" s="7" t="s">
        <v>21</v>
      </c>
      <c r="H61" s="7" t="str">
        <f>'Material quantities'!G61</f>
        <v>ST</v>
      </c>
      <c r="I61" s="38">
        <f>'Material quantities'!O61</f>
        <v>0</v>
      </c>
      <c r="J61" s="42" t="s">
        <v>15</v>
      </c>
      <c r="K61" s="2"/>
      <c r="L61" s="144">
        <f>VLOOKUP($H61,'Material impact data'!$E$19:$AM$61,6,0)/VLOOKUP($H61,'Material impact data'!$E$19:$AM$61,4,0)*$I61</f>
        <v>0</v>
      </c>
      <c r="M61" s="140">
        <f>VLOOKUP($H61,'Material impact data'!$E$19:$AM$61,'Material impact data'!M$15,0)/VLOOKUP($H61,'Material impact data'!$E$19:$AM$61,4,0)*$I61</f>
        <v>0</v>
      </c>
      <c r="N61" s="140">
        <f>VLOOKUP($H61,'Material impact data'!$E$19:$AM$61,'Material impact data'!N$15,0)/VLOOKUP($H61,'Material impact data'!$E$19:$AM$61,4,0)*$I61</f>
        <v>0</v>
      </c>
      <c r="O61" s="185">
        <f>VLOOKUP($H61,'Material impact data'!$E$19:$AM$61,'Material impact data'!O$15,0)/VLOOKUP($H61,'Material impact data'!$E$19:$AM$61,4,0)*$I61</f>
        <v>0</v>
      </c>
      <c r="P61" s="185">
        <f>VLOOKUP($H61,'Material impact data'!$E$19:$AM$61,'Material impact data'!P$15,0)/VLOOKUP($H61,'Material impact data'!$E$19:$AM$61,4,0)*$I61</f>
        <v>0</v>
      </c>
      <c r="Q61" s="186">
        <f>VLOOKUP($H61,'Material impact data'!$E$19:$AM$61,'Material impact data'!Q$15,0)/VLOOKUP($H61,'Material impact data'!$E$19:$AM$61,4,0)*$I61</f>
        <v>0</v>
      </c>
      <c r="R61" s="186">
        <f>VLOOKUP($H61,'Material impact data'!$E$19:$AM$61,'Material impact data'!R$15,0)/VLOOKUP($H61,'Material impact data'!$E$19:$AM$61,4,0)*$I61</f>
        <v>0</v>
      </c>
      <c r="S61" s="140">
        <f>VLOOKUP($H61,'Material impact data'!$E$19:$AM$61,'Material impact data'!S$15,0)/VLOOKUP($H61,'Material impact data'!$E$19:$AM$61,4,0)*$I61</f>
        <v>0</v>
      </c>
      <c r="T61" s="140">
        <f>VLOOKUP($H61,'Material impact data'!$E$19:$AM$61,'Material impact data'!T$15,0)/VLOOKUP($H61,'Material impact data'!$E$19:$AM$61,4,0)*$I61</f>
        <v>0</v>
      </c>
      <c r="U61" s="140">
        <f>VLOOKUP($H61,'Material impact data'!$E$19:$AM$61,'Material impact data'!U$15,0)/VLOOKUP($H61,'Material impact data'!$E$19:$AM$61,4,0)*$I61</f>
        <v>0</v>
      </c>
      <c r="V61" s="140">
        <f>VLOOKUP($H61,'Material impact data'!$E$19:$AM$61,'Material impact data'!V$15,0)/VLOOKUP($H61,'Material impact data'!$E$19:$AM$61,4,0)*$I61</f>
        <v>0</v>
      </c>
      <c r="W61" s="140">
        <f>VLOOKUP($H61,'Material impact data'!$E$19:$AM$61,'Material impact data'!W$15,0)/VLOOKUP($H61,'Material impact data'!$E$19:$AM$61,4,0)*$I61</f>
        <v>0</v>
      </c>
      <c r="X61" s="140">
        <f>VLOOKUP($H61,'Material impact data'!$E$19:$AM$61,'Material impact data'!X$15,0)/VLOOKUP($H61,'Material impact data'!$E$19:$AM$61,4,0)*$I61</f>
        <v>0</v>
      </c>
      <c r="Y61" s="140">
        <f>VLOOKUP($H61,'Material impact data'!$E$19:$AM$61,'Material impact data'!Y$15,0)/VLOOKUP($H61,'Material impact data'!$E$19:$AM$61,4,0)*$I61</f>
        <v>0</v>
      </c>
      <c r="Z61" s="185">
        <f>VLOOKUP($H61,'Material impact data'!$E$19:$AM$61,'Material impact data'!Z$15,0)/VLOOKUP($H61,'Material impact data'!$E$19:$AM$61,4,0)*$I61</f>
        <v>0</v>
      </c>
      <c r="AA61" s="185">
        <f>VLOOKUP($H61,'Material impact data'!$E$19:$AM$61,'Material impact data'!AA$15,0)/VLOOKUP($H61,'Material impact data'!$E$19:$AM$61,4,0)*$I61</f>
        <v>0</v>
      </c>
      <c r="AB61" s="185">
        <f>VLOOKUP($H61,'Material impact data'!$E$19:$AM$61,'Material impact data'!AB$15,0)/VLOOKUP($H61,'Material impact data'!$E$19:$AM$61,4,0)*$I61</f>
        <v>0</v>
      </c>
      <c r="AC61" s="185">
        <f>VLOOKUP($H61,'Material impact data'!$E$19:$AM$61,'Material impact data'!AC$15,0)/VLOOKUP($H61,'Material impact data'!$E$19:$AM$61,4,0)*$I61</f>
        <v>0</v>
      </c>
      <c r="AD61" s="185">
        <f>VLOOKUP($H61,'Material impact data'!$E$19:$AM$61,'Material impact data'!AD$15,0)/VLOOKUP($H61,'Material impact data'!$E$19:$AM$61,4,0)*$I61</f>
        <v>0</v>
      </c>
      <c r="AE61" s="185">
        <f>VLOOKUP($H61,'Material impact data'!$E$19:$AM$61,'Material impact data'!AE$15,0)/VLOOKUP($H61,'Material impact data'!$E$19:$AM$61,4,0)*$I61</f>
        <v>0</v>
      </c>
      <c r="AF61" s="185">
        <f>VLOOKUP($H61,'Material impact data'!$E$19:$AM$61,'Material impact data'!AF$15,0)/VLOOKUP($H61,'Material impact data'!$E$19:$AM$61,4,0)*$I61</f>
        <v>0</v>
      </c>
      <c r="AG61" s="186">
        <f>VLOOKUP($H61,'Material impact data'!$E$19:$AM$61,'Material impact data'!AG$15,0)/VLOOKUP($H61,'Material impact data'!$E$19:$AM$61,4,0)*$I61</f>
        <v>0</v>
      </c>
      <c r="AH61" s="186">
        <f>VLOOKUP($H61,'Material impact data'!$E$19:$AM$61,'Material impact data'!AH$15,0)/VLOOKUP($H61,'Material impact data'!$E$19:$AM$61,4,0)*$I61</f>
        <v>0</v>
      </c>
      <c r="AI61" s="186">
        <f>VLOOKUP($H61,'Material impact data'!$E$19:$AM$61,'Material impact data'!AI$15,0)/VLOOKUP($H61,'Material impact data'!$E$19:$AM$61,4,0)*$I61</f>
        <v>0</v>
      </c>
      <c r="AJ61" s="186">
        <f>VLOOKUP($H61,'Material impact data'!$E$19:$AM$61,'Material impact data'!AJ$15,0)/VLOOKUP($H61,'Material impact data'!$E$19:$AM$61,4,0)*$I61</f>
        <v>0</v>
      </c>
      <c r="AK61" s="186">
        <f>VLOOKUP($H61,'Material impact data'!$E$19:$AM$61,'Material impact data'!AK$15,0)/VLOOKUP($H61,'Material impact data'!$E$19:$AM$61,4,0)*$I61</f>
        <v>0</v>
      </c>
      <c r="AL61" s="186">
        <f>VLOOKUP($H61,'Material impact data'!$E$19:$AM$61,'Material impact data'!AL$15,0)/VLOOKUP($H61,'Material impact data'!$E$19:$AM$61,4,0)*$I61</f>
        <v>0</v>
      </c>
      <c r="AM61" s="186">
        <f>VLOOKUP($H61,'Material impact data'!$E$19:$AM$61,'Material impact data'!AM$15,0)/VLOOKUP($H61,'Material impact data'!$E$19:$AM$61,4,0)*$I61</f>
        <v>0</v>
      </c>
      <c r="AO61" s="187">
        <f>M61/'Building &amp; Material inputs'!$C$18/'Building &amp; Material inputs'!$C$19</f>
        <v>0</v>
      </c>
      <c r="AP61" s="187">
        <f>N61/'Building &amp; Material inputs'!$C$18/'Building &amp; Material inputs'!$C$19</f>
        <v>0</v>
      </c>
      <c r="AQ61" s="139">
        <f>O61/'Building &amp; Material inputs'!$C$18/'Building &amp; Material inputs'!$C$19</f>
        <v>0</v>
      </c>
      <c r="AR61" s="139">
        <f>P61/'Building &amp; Material inputs'!$C$18/'Building &amp; Material inputs'!$C$19</f>
        <v>0</v>
      </c>
      <c r="AS61" s="170">
        <f>Q61/'Building &amp; Material inputs'!$C$18/'Building &amp; Material inputs'!$C$19</f>
        <v>0</v>
      </c>
      <c r="AT61" s="170">
        <f>R61/'Building &amp; Material inputs'!$C$18/'Building &amp; Material inputs'!$C$19</f>
        <v>0</v>
      </c>
      <c r="AU61" s="187">
        <f>S61/'Building &amp; Material inputs'!$C$18/'Building &amp; Material inputs'!$C$19</f>
        <v>0</v>
      </c>
      <c r="AV61" s="187">
        <f>T61/'Building &amp; Material inputs'!$C$18/'Building &amp; Material inputs'!$C$19</f>
        <v>0</v>
      </c>
      <c r="AW61" s="187">
        <f>U61/'Building &amp; Material inputs'!$C$18/'Building &amp; Material inputs'!$C$19</f>
        <v>0</v>
      </c>
      <c r="AX61" s="187">
        <f>V61/'Building &amp; Material inputs'!$C$18/'Building &amp; Material inputs'!$C$19</f>
        <v>0</v>
      </c>
      <c r="AY61" s="187">
        <f>W61/'Building &amp; Material inputs'!$C$18/'Building &amp; Material inputs'!$C$19</f>
        <v>0</v>
      </c>
      <c r="AZ61" s="187">
        <f>X61/'Building &amp; Material inputs'!$C$18/'Building &amp; Material inputs'!$C$19</f>
        <v>0</v>
      </c>
      <c r="BA61" s="187">
        <f>Y61/'Building &amp; Material inputs'!$C$18/'Building &amp; Material inputs'!$C$19</f>
        <v>0</v>
      </c>
      <c r="BB61" s="139">
        <f>Z61/'Building &amp; Material inputs'!$C$18/'Building &amp; Material inputs'!$C$19</f>
        <v>0</v>
      </c>
      <c r="BC61" s="139">
        <f>AA61/'Building &amp; Material inputs'!$C$18/'Building &amp; Material inputs'!$C$19</f>
        <v>0</v>
      </c>
      <c r="BD61" s="139">
        <f>AB61/'Building &amp; Material inputs'!$C$18/'Building &amp; Material inputs'!$C$19</f>
        <v>0</v>
      </c>
      <c r="BE61" s="139">
        <f>AC61/'Building &amp; Material inputs'!$C$18/'Building &amp; Material inputs'!$C$19</f>
        <v>0</v>
      </c>
      <c r="BF61" s="139">
        <f>AD61/'Building &amp; Material inputs'!$C$18/'Building &amp; Material inputs'!$C$19</f>
        <v>0</v>
      </c>
      <c r="BG61" s="139">
        <f>AE61/'Building &amp; Material inputs'!$C$18/'Building &amp; Material inputs'!$C$19</f>
        <v>0</v>
      </c>
      <c r="BH61" s="139">
        <f>AF61/'Building &amp; Material inputs'!$C$18/'Building &amp; Material inputs'!$C$19</f>
        <v>0</v>
      </c>
      <c r="BI61" s="170">
        <f>AG61/'Building &amp; Material inputs'!$C$18/'Building &amp; Material inputs'!$C$19</f>
        <v>0</v>
      </c>
      <c r="BJ61" s="170">
        <f>AH61/'Building &amp; Material inputs'!$C$18/'Building &amp; Material inputs'!$C$19</f>
        <v>0</v>
      </c>
      <c r="BK61" s="170">
        <f>AI61/'Building &amp; Material inputs'!$C$18/'Building &amp; Material inputs'!$C$19</f>
        <v>0</v>
      </c>
      <c r="BL61" s="170">
        <f>AJ61/'Building &amp; Material inputs'!$C$18/'Building &amp; Material inputs'!$C$19</f>
        <v>0</v>
      </c>
      <c r="BM61" s="170">
        <f>AK61/'Building &amp; Material inputs'!$C$18/'Building &amp; Material inputs'!$C$19</f>
        <v>0</v>
      </c>
      <c r="BN61" s="170">
        <f>AL61/'Building &amp; Material inputs'!$C$18/'Building &amp; Material inputs'!$C$19</f>
        <v>0</v>
      </c>
      <c r="BO61" s="170">
        <f>AM61/'Building &amp; Material inputs'!$C$18/'Building &amp; Material inputs'!$C$19</f>
        <v>0</v>
      </c>
    </row>
    <row r="62" spans="2:67" x14ac:dyDescent="0.25">
      <c r="B62" s="334"/>
      <c r="C62" s="320"/>
      <c r="D62" s="320"/>
      <c r="E62" s="321"/>
      <c r="F62" s="8" t="s">
        <v>138</v>
      </c>
      <c r="G62" s="7" t="s">
        <v>19</v>
      </c>
      <c r="H62" s="7" t="str">
        <f>'Material quantities'!G62</f>
        <v>CON3</v>
      </c>
      <c r="I62" s="38">
        <f>'Material quantities'!O62</f>
        <v>0</v>
      </c>
      <c r="J62" s="42" t="s">
        <v>14</v>
      </c>
      <c r="K62" s="2"/>
      <c r="L62" s="144">
        <f>VLOOKUP($H62,'Material impact data'!$E$19:$AM$61,6,0)/VLOOKUP($H62,'Material impact data'!$E$19:$AM$61,4,0)*$I62</f>
        <v>0</v>
      </c>
      <c r="M62" s="140">
        <f>VLOOKUP($H62,'Material impact data'!$E$19:$AM$61,'Material impact data'!M$15,0)/VLOOKUP($H62,'Material impact data'!$E$19:$AM$61,4,0)*$I62</f>
        <v>0</v>
      </c>
      <c r="N62" s="140">
        <f>VLOOKUP($H62,'Material impact data'!$E$19:$AM$61,'Material impact data'!N$15,0)/VLOOKUP($H62,'Material impact data'!$E$19:$AM$61,4,0)*$I62</f>
        <v>0</v>
      </c>
      <c r="O62" s="185">
        <f>VLOOKUP($H62,'Material impact data'!$E$19:$AM$61,'Material impact data'!O$15,0)/VLOOKUP($H62,'Material impact data'!$E$19:$AM$61,4,0)*$I62</f>
        <v>0</v>
      </c>
      <c r="P62" s="185">
        <f>VLOOKUP($H62,'Material impact data'!$E$19:$AM$61,'Material impact data'!P$15,0)/VLOOKUP($H62,'Material impact data'!$E$19:$AM$61,4,0)*$I62</f>
        <v>0</v>
      </c>
      <c r="Q62" s="186">
        <f>VLOOKUP($H62,'Material impact data'!$E$19:$AM$61,'Material impact data'!Q$15,0)/VLOOKUP($H62,'Material impact data'!$E$19:$AM$61,4,0)*$I62</f>
        <v>0</v>
      </c>
      <c r="R62" s="186">
        <f>VLOOKUP($H62,'Material impact data'!$E$19:$AM$61,'Material impact data'!R$15,0)/VLOOKUP($H62,'Material impact data'!$E$19:$AM$61,4,0)*$I62</f>
        <v>0</v>
      </c>
      <c r="S62" s="140">
        <f>VLOOKUP($H62,'Material impact data'!$E$19:$AM$61,'Material impact data'!S$15,0)/VLOOKUP($H62,'Material impact data'!$E$19:$AM$61,4,0)*$I62</f>
        <v>0</v>
      </c>
      <c r="T62" s="140">
        <f>VLOOKUP($H62,'Material impact data'!$E$19:$AM$61,'Material impact data'!T$15,0)/VLOOKUP($H62,'Material impact data'!$E$19:$AM$61,4,0)*$I62</f>
        <v>0</v>
      </c>
      <c r="U62" s="140">
        <f>VLOOKUP($H62,'Material impact data'!$E$19:$AM$61,'Material impact data'!U$15,0)/VLOOKUP($H62,'Material impact data'!$E$19:$AM$61,4,0)*$I62</f>
        <v>0</v>
      </c>
      <c r="V62" s="140">
        <f>VLOOKUP($H62,'Material impact data'!$E$19:$AM$61,'Material impact data'!V$15,0)/VLOOKUP($H62,'Material impact data'!$E$19:$AM$61,4,0)*$I62</f>
        <v>0</v>
      </c>
      <c r="W62" s="140">
        <f>VLOOKUP($H62,'Material impact data'!$E$19:$AM$61,'Material impact data'!W$15,0)/VLOOKUP($H62,'Material impact data'!$E$19:$AM$61,4,0)*$I62</f>
        <v>0</v>
      </c>
      <c r="X62" s="140">
        <f>VLOOKUP($H62,'Material impact data'!$E$19:$AM$61,'Material impact data'!X$15,0)/VLOOKUP($H62,'Material impact data'!$E$19:$AM$61,4,0)*$I62</f>
        <v>0</v>
      </c>
      <c r="Y62" s="140">
        <f>VLOOKUP($H62,'Material impact data'!$E$19:$AM$61,'Material impact data'!Y$15,0)/VLOOKUP($H62,'Material impact data'!$E$19:$AM$61,4,0)*$I62</f>
        <v>0</v>
      </c>
      <c r="Z62" s="185">
        <f>VLOOKUP($H62,'Material impact data'!$E$19:$AM$61,'Material impact data'!Z$15,0)/VLOOKUP($H62,'Material impact data'!$E$19:$AM$61,4,0)*$I62</f>
        <v>0</v>
      </c>
      <c r="AA62" s="185">
        <f>VLOOKUP($H62,'Material impact data'!$E$19:$AM$61,'Material impact data'!AA$15,0)/VLOOKUP($H62,'Material impact data'!$E$19:$AM$61,4,0)*$I62</f>
        <v>0</v>
      </c>
      <c r="AB62" s="185">
        <f>VLOOKUP($H62,'Material impact data'!$E$19:$AM$61,'Material impact data'!AB$15,0)/VLOOKUP($H62,'Material impact data'!$E$19:$AM$61,4,0)*$I62</f>
        <v>0</v>
      </c>
      <c r="AC62" s="185">
        <f>VLOOKUP($H62,'Material impact data'!$E$19:$AM$61,'Material impact data'!AC$15,0)/VLOOKUP($H62,'Material impact data'!$E$19:$AM$61,4,0)*$I62</f>
        <v>0</v>
      </c>
      <c r="AD62" s="185">
        <f>VLOOKUP($H62,'Material impact data'!$E$19:$AM$61,'Material impact data'!AD$15,0)/VLOOKUP($H62,'Material impact data'!$E$19:$AM$61,4,0)*$I62</f>
        <v>0</v>
      </c>
      <c r="AE62" s="185">
        <f>VLOOKUP($H62,'Material impact data'!$E$19:$AM$61,'Material impact data'!AE$15,0)/VLOOKUP($H62,'Material impact data'!$E$19:$AM$61,4,0)*$I62</f>
        <v>0</v>
      </c>
      <c r="AF62" s="185">
        <f>VLOOKUP($H62,'Material impact data'!$E$19:$AM$61,'Material impact data'!AF$15,0)/VLOOKUP($H62,'Material impact data'!$E$19:$AM$61,4,0)*$I62</f>
        <v>0</v>
      </c>
      <c r="AG62" s="186">
        <f>VLOOKUP($H62,'Material impact data'!$E$19:$AM$61,'Material impact data'!AG$15,0)/VLOOKUP($H62,'Material impact data'!$E$19:$AM$61,4,0)*$I62</f>
        <v>0</v>
      </c>
      <c r="AH62" s="186">
        <f>VLOOKUP($H62,'Material impact data'!$E$19:$AM$61,'Material impact data'!AH$15,0)/VLOOKUP($H62,'Material impact data'!$E$19:$AM$61,4,0)*$I62</f>
        <v>0</v>
      </c>
      <c r="AI62" s="186">
        <f>VLOOKUP($H62,'Material impact data'!$E$19:$AM$61,'Material impact data'!AI$15,0)/VLOOKUP($H62,'Material impact data'!$E$19:$AM$61,4,0)*$I62</f>
        <v>0</v>
      </c>
      <c r="AJ62" s="186">
        <f>VLOOKUP($H62,'Material impact data'!$E$19:$AM$61,'Material impact data'!AJ$15,0)/VLOOKUP($H62,'Material impact data'!$E$19:$AM$61,4,0)*$I62</f>
        <v>0</v>
      </c>
      <c r="AK62" s="186">
        <f>VLOOKUP($H62,'Material impact data'!$E$19:$AM$61,'Material impact data'!AK$15,0)/VLOOKUP($H62,'Material impact data'!$E$19:$AM$61,4,0)*$I62</f>
        <v>0</v>
      </c>
      <c r="AL62" s="186">
        <f>VLOOKUP($H62,'Material impact data'!$E$19:$AM$61,'Material impact data'!AL$15,0)/VLOOKUP($H62,'Material impact data'!$E$19:$AM$61,4,0)*$I62</f>
        <v>0</v>
      </c>
      <c r="AM62" s="186">
        <f>VLOOKUP($H62,'Material impact data'!$E$19:$AM$61,'Material impact data'!AM$15,0)/VLOOKUP($H62,'Material impact data'!$E$19:$AM$61,4,0)*$I62</f>
        <v>0</v>
      </c>
      <c r="AO62" s="187">
        <f>M62/'Building &amp; Material inputs'!$C$18/'Building &amp; Material inputs'!$C$19</f>
        <v>0</v>
      </c>
      <c r="AP62" s="187">
        <f>N62/'Building &amp; Material inputs'!$C$18/'Building &amp; Material inputs'!$C$19</f>
        <v>0</v>
      </c>
      <c r="AQ62" s="139">
        <f>O62/'Building &amp; Material inputs'!$C$18/'Building &amp; Material inputs'!$C$19</f>
        <v>0</v>
      </c>
      <c r="AR62" s="139">
        <f>P62/'Building &amp; Material inputs'!$C$18/'Building &amp; Material inputs'!$C$19</f>
        <v>0</v>
      </c>
      <c r="AS62" s="170">
        <f>Q62/'Building &amp; Material inputs'!$C$18/'Building &amp; Material inputs'!$C$19</f>
        <v>0</v>
      </c>
      <c r="AT62" s="170">
        <f>R62/'Building &amp; Material inputs'!$C$18/'Building &amp; Material inputs'!$C$19</f>
        <v>0</v>
      </c>
      <c r="AU62" s="187">
        <f>S62/'Building &amp; Material inputs'!$C$18/'Building &amp; Material inputs'!$C$19</f>
        <v>0</v>
      </c>
      <c r="AV62" s="187">
        <f>T62/'Building &amp; Material inputs'!$C$18/'Building &amp; Material inputs'!$C$19</f>
        <v>0</v>
      </c>
      <c r="AW62" s="187">
        <f>U62/'Building &amp; Material inputs'!$C$18/'Building &amp; Material inputs'!$C$19</f>
        <v>0</v>
      </c>
      <c r="AX62" s="187">
        <f>V62/'Building &amp; Material inputs'!$C$18/'Building &amp; Material inputs'!$C$19</f>
        <v>0</v>
      </c>
      <c r="AY62" s="187">
        <f>W62/'Building &amp; Material inputs'!$C$18/'Building &amp; Material inputs'!$C$19</f>
        <v>0</v>
      </c>
      <c r="AZ62" s="187">
        <f>X62/'Building &amp; Material inputs'!$C$18/'Building &amp; Material inputs'!$C$19</f>
        <v>0</v>
      </c>
      <c r="BA62" s="187">
        <f>Y62/'Building &amp; Material inputs'!$C$18/'Building &amp; Material inputs'!$C$19</f>
        <v>0</v>
      </c>
      <c r="BB62" s="139">
        <f>Z62/'Building &amp; Material inputs'!$C$18/'Building &amp; Material inputs'!$C$19</f>
        <v>0</v>
      </c>
      <c r="BC62" s="139">
        <f>AA62/'Building &amp; Material inputs'!$C$18/'Building &amp; Material inputs'!$C$19</f>
        <v>0</v>
      </c>
      <c r="BD62" s="139">
        <f>AB62/'Building &amp; Material inputs'!$C$18/'Building &amp; Material inputs'!$C$19</f>
        <v>0</v>
      </c>
      <c r="BE62" s="139">
        <f>AC62/'Building &amp; Material inputs'!$C$18/'Building &amp; Material inputs'!$C$19</f>
        <v>0</v>
      </c>
      <c r="BF62" s="139">
        <f>AD62/'Building &amp; Material inputs'!$C$18/'Building &amp; Material inputs'!$C$19</f>
        <v>0</v>
      </c>
      <c r="BG62" s="139">
        <f>AE62/'Building &amp; Material inputs'!$C$18/'Building &amp; Material inputs'!$C$19</f>
        <v>0</v>
      </c>
      <c r="BH62" s="139">
        <f>AF62/'Building &amp; Material inputs'!$C$18/'Building &amp; Material inputs'!$C$19</f>
        <v>0</v>
      </c>
      <c r="BI62" s="170">
        <f>AG62/'Building &amp; Material inputs'!$C$18/'Building &amp; Material inputs'!$C$19</f>
        <v>0</v>
      </c>
      <c r="BJ62" s="170">
        <f>AH62/'Building &amp; Material inputs'!$C$18/'Building &amp; Material inputs'!$C$19</f>
        <v>0</v>
      </c>
      <c r="BK62" s="170">
        <f>AI62/'Building &amp; Material inputs'!$C$18/'Building &amp; Material inputs'!$C$19</f>
        <v>0</v>
      </c>
      <c r="BL62" s="170">
        <f>AJ62/'Building &amp; Material inputs'!$C$18/'Building &amp; Material inputs'!$C$19</f>
        <v>0</v>
      </c>
      <c r="BM62" s="170">
        <f>AK62/'Building &amp; Material inputs'!$C$18/'Building &amp; Material inputs'!$C$19</f>
        <v>0</v>
      </c>
      <c r="BN62" s="170">
        <f>AL62/'Building &amp; Material inputs'!$C$18/'Building &amp; Material inputs'!$C$19</f>
        <v>0</v>
      </c>
      <c r="BO62" s="170">
        <f>AM62/'Building &amp; Material inputs'!$C$18/'Building &amp; Material inputs'!$C$19</f>
        <v>0</v>
      </c>
    </row>
    <row r="63" spans="2:67" ht="15.75" thickBot="1" x14ac:dyDescent="0.3">
      <c r="B63" s="334"/>
      <c r="C63" s="320"/>
      <c r="D63" s="322"/>
      <c r="E63" s="323"/>
      <c r="F63" s="8" t="s">
        <v>139</v>
      </c>
      <c r="G63" s="7" t="s">
        <v>22</v>
      </c>
      <c r="H63" s="7" t="str">
        <f>'Material quantities'!G63</f>
        <v>REB</v>
      </c>
      <c r="I63" s="38">
        <f>'Material quantities'!O63</f>
        <v>0</v>
      </c>
      <c r="J63" s="42" t="s">
        <v>15</v>
      </c>
      <c r="K63" s="2"/>
      <c r="L63" s="144">
        <f>VLOOKUP($H63,'Material impact data'!$E$19:$AM$61,6,0)/VLOOKUP($H63,'Material impact data'!$E$19:$AM$61,4,0)*$I63</f>
        <v>0</v>
      </c>
      <c r="M63" s="140">
        <f>VLOOKUP($H63,'Material impact data'!$E$19:$AM$61,'Material impact data'!M$15,0)/VLOOKUP($H63,'Material impact data'!$E$19:$AM$61,4,0)*$I63</f>
        <v>0</v>
      </c>
      <c r="N63" s="140">
        <f>VLOOKUP($H63,'Material impact data'!$E$19:$AM$61,'Material impact data'!N$15,0)/VLOOKUP($H63,'Material impact data'!$E$19:$AM$61,4,0)*$I63</f>
        <v>0</v>
      </c>
      <c r="O63" s="185">
        <f>VLOOKUP($H63,'Material impact data'!$E$19:$AM$61,'Material impact data'!O$15,0)/VLOOKUP($H63,'Material impact data'!$E$19:$AM$61,4,0)*$I63</f>
        <v>0</v>
      </c>
      <c r="P63" s="185">
        <f>VLOOKUP($H63,'Material impact data'!$E$19:$AM$61,'Material impact data'!P$15,0)/VLOOKUP($H63,'Material impact data'!$E$19:$AM$61,4,0)*$I63</f>
        <v>0</v>
      </c>
      <c r="Q63" s="186">
        <f>VLOOKUP($H63,'Material impact data'!$E$19:$AM$61,'Material impact data'!Q$15,0)/VLOOKUP($H63,'Material impact data'!$E$19:$AM$61,4,0)*$I63</f>
        <v>0</v>
      </c>
      <c r="R63" s="186">
        <f>VLOOKUP($H63,'Material impact data'!$E$19:$AM$61,'Material impact data'!R$15,0)/VLOOKUP($H63,'Material impact data'!$E$19:$AM$61,4,0)*$I63</f>
        <v>0</v>
      </c>
      <c r="S63" s="140">
        <f>VLOOKUP($H63,'Material impact data'!$E$19:$AM$61,'Material impact data'!S$15,0)/VLOOKUP($H63,'Material impact data'!$E$19:$AM$61,4,0)*$I63</f>
        <v>0</v>
      </c>
      <c r="T63" s="140">
        <f>VLOOKUP($H63,'Material impact data'!$E$19:$AM$61,'Material impact data'!T$15,0)/VLOOKUP($H63,'Material impact data'!$E$19:$AM$61,4,0)*$I63</f>
        <v>0</v>
      </c>
      <c r="U63" s="140">
        <f>VLOOKUP($H63,'Material impact data'!$E$19:$AM$61,'Material impact data'!U$15,0)/VLOOKUP($H63,'Material impact data'!$E$19:$AM$61,4,0)*$I63</f>
        <v>0</v>
      </c>
      <c r="V63" s="140">
        <f>VLOOKUP($H63,'Material impact data'!$E$19:$AM$61,'Material impact data'!V$15,0)/VLOOKUP($H63,'Material impact data'!$E$19:$AM$61,4,0)*$I63</f>
        <v>0</v>
      </c>
      <c r="W63" s="140">
        <f>VLOOKUP($H63,'Material impact data'!$E$19:$AM$61,'Material impact data'!W$15,0)/VLOOKUP($H63,'Material impact data'!$E$19:$AM$61,4,0)*$I63</f>
        <v>0</v>
      </c>
      <c r="X63" s="140">
        <f>VLOOKUP($H63,'Material impact data'!$E$19:$AM$61,'Material impact data'!X$15,0)/VLOOKUP($H63,'Material impact data'!$E$19:$AM$61,4,0)*$I63</f>
        <v>0</v>
      </c>
      <c r="Y63" s="140">
        <f>VLOOKUP($H63,'Material impact data'!$E$19:$AM$61,'Material impact data'!Y$15,0)/VLOOKUP($H63,'Material impact data'!$E$19:$AM$61,4,0)*$I63</f>
        <v>0</v>
      </c>
      <c r="Z63" s="185">
        <f>VLOOKUP($H63,'Material impact data'!$E$19:$AM$61,'Material impact data'!Z$15,0)/VLOOKUP($H63,'Material impact data'!$E$19:$AM$61,4,0)*$I63</f>
        <v>0</v>
      </c>
      <c r="AA63" s="185">
        <f>VLOOKUP($H63,'Material impact data'!$E$19:$AM$61,'Material impact data'!AA$15,0)/VLOOKUP($H63,'Material impact data'!$E$19:$AM$61,4,0)*$I63</f>
        <v>0</v>
      </c>
      <c r="AB63" s="185">
        <f>VLOOKUP($H63,'Material impact data'!$E$19:$AM$61,'Material impact data'!AB$15,0)/VLOOKUP($H63,'Material impact data'!$E$19:$AM$61,4,0)*$I63</f>
        <v>0</v>
      </c>
      <c r="AC63" s="185">
        <f>VLOOKUP($H63,'Material impact data'!$E$19:$AM$61,'Material impact data'!AC$15,0)/VLOOKUP($H63,'Material impact data'!$E$19:$AM$61,4,0)*$I63</f>
        <v>0</v>
      </c>
      <c r="AD63" s="185">
        <f>VLOOKUP($H63,'Material impact data'!$E$19:$AM$61,'Material impact data'!AD$15,0)/VLOOKUP($H63,'Material impact data'!$E$19:$AM$61,4,0)*$I63</f>
        <v>0</v>
      </c>
      <c r="AE63" s="185">
        <f>VLOOKUP($H63,'Material impact data'!$E$19:$AM$61,'Material impact data'!AE$15,0)/VLOOKUP($H63,'Material impact data'!$E$19:$AM$61,4,0)*$I63</f>
        <v>0</v>
      </c>
      <c r="AF63" s="185">
        <f>VLOOKUP($H63,'Material impact data'!$E$19:$AM$61,'Material impact data'!AF$15,0)/VLOOKUP($H63,'Material impact data'!$E$19:$AM$61,4,0)*$I63</f>
        <v>0</v>
      </c>
      <c r="AG63" s="186">
        <f>VLOOKUP($H63,'Material impact data'!$E$19:$AM$61,'Material impact data'!AG$15,0)/VLOOKUP($H63,'Material impact data'!$E$19:$AM$61,4,0)*$I63</f>
        <v>0</v>
      </c>
      <c r="AH63" s="186">
        <f>VLOOKUP($H63,'Material impact data'!$E$19:$AM$61,'Material impact data'!AH$15,0)/VLOOKUP($H63,'Material impact data'!$E$19:$AM$61,4,0)*$I63</f>
        <v>0</v>
      </c>
      <c r="AI63" s="186">
        <f>VLOOKUP($H63,'Material impact data'!$E$19:$AM$61,'Material impact data'!AI$15,0)/VLOOKUP($H63,'Material impact data'!$E$19:$AM$61,4,0)*$I63</f>
        <v>0</v>
      </c>
      <c r="AJ63" s="186">
        <f>VLOOKUP($H63,'Material impact data'!$E$19:$AM$61,'Material impact data'!AJ$15,0)/VLOOKUP($H63,'Material impact data'!$E$19:$AM$61,4,0)*$I63</f>
        <v>0</v>
      </c>
      <c r="AK63" s="186">
        <f>VLOOKUP($H63,'Material impact data'!$E$19:$AM$61,'Material impact data'!AK$15,0)/VLOOKUP($H63,'Material impact data'!$E$19:$AM$61,4,0)*$I63</f>
        <v>0</v>
      </c>
      <c r="AL63" s="186">
        <f>VLOOKUP($H63,'Material impact data'!$E$19:$AM$61,'Material impact data'!AL$15,0)/VLOOKUP($H63,'Material impact data'!$E$19:$AM$61,4,0)*$I63</f>
        <v>0</v>
      </c>
      <c r="AM63" s="186">
        <f>VLOOKUP($H63,'Material impact data'!$E$19:$AM$61,'Material impact data'!AM$15,0)/VLOOKUP($H63,'Material impact data'!$E$19:$AM$61,4,0)*$I63</f>
        <v>0</v>
      </c>
      <c r="AO63" s="187">
        <f>M63/'Building &amp; Material inputs'!$C$18/'Building &amp; Material inputs'!$C$19</f>
        <v>0</v>
      </c>
      <c r="AP63" s="187">
        <f>N63/'Building &amp; Material inputs'!$C$18/'Building &amp; Material inputs'!$C$19</f>
        <v>0</v>
      </c>
      <c r="AQ63" s="139">
        <f>O63/'Building &amp; Material inputs'!$C$18/'Building &amp; Material inputs'!$C$19</f>
        <v>0</v>
      </c>
      <c r="AR63" s="139">
        <f>P63/'Building &amp; Material inputs'!$C$18/'Building &amp; Material inputs'!$C$19</f>
        <v>0</v>
      </c>
      <c r="AS63" s="170">
        <f>Q63/'Building &amp; Material inputs'!$C$18/'Building &amp; Material inputs'!$C$19</f>
        <v>0</v>
      </c>
      <c r="AT63" s="170">
        <f>R63/'Building &amp; Material inputs'!$C$18/'Building &amp; Material inputs'!$C$19</f>
        <v>0</v>
      </c>
      <c r="AU63" s="187">
        <f>S63/'Building &amp; Material inputs'!$C$18/'Building &amp; Material inputs'!$C$19</f>
        <v>0</v>
      </c>
      <c r="AV63" s="187">
        <f>T63/'Building &amp; Material inputs'!$C$18/'Building &amp; Material inputs'!$C$19</f>
        <v>0</v>
      </c>
      <c r="AW63" s="187">
        <f>U63/'Building &amp; Material inputs'!$C$18/'Building &amp; Material inputs'!$C$19</f>
        <v>0</v>
      </c>
      <c r="AX63" s="187">
        <f>V63/'Building &amp; Material inputs'!$C$18/'Building &amp; Material inputs'!$C$19</f>
        <v>0</v>
      </c>
      <c r="AY63" s="187">
        <f>W63/'Building &amp; Material inputs'!$C$18/'Building &amp; Material inputs'!$C$19</f>
        <v>0</v>
      </c>
      <c r="AZ63" s="187">
        <f>X63/'Building &amp; Material inputs'!$C$18/'Building &amp; Material inputs'!$C$19</f>
        <v>0</v>
      </c>
      <c r="BA63" s="187">
        <f>Y63/'Building &amp; Material inputs'!$C$18/'Building &amp; Material inputs'!$C$19</f>
        <v>0</v>
      </c>
      <c r="BB63" s="139">
        <f>Z63/'Building &amp; Material inputs'!$C$18/'Building &amp; Material inputs'!$C$19</f>
        <v>0</v>
      </c>
      <c r="BC63" s="139">
        <f>AA63/'Building &amp; Material inputs'!$C$18/'Building &amp; Material inputs'!$C$19</f>
        <v>0</v>
      </c>
      <c r="BD63" s="139">
        <f>AB63/'Building &amp; Material inputs'!$C$18/'Building &amp; Material inputs'!$C$19</f>
        <v>0</v>
      </c>
      <c r="BE63" s="139">
        <f>AC63/'Building &amp; Material inputs'!$C$18/'Building &amp; Material inputs'!$C$19</f>
        <v>0</v>
      </c>
      <c r="BF63" s="139">
        <f>AD63/'Building &amp; Material inputs'!$C$18/'Building &amp; Material inputs'!$C$19</f>
        <v>0</v>
      </c>
      <c r="BG63" s="139">
        <f>AE63/'Building &amp; Material inputs'!$C$18/'Building &amp; Material inputs'!$C$19</f>
        <v>0</v>
      </c>
      <c r="BH63" s="139">
        <f>AF63/'Building &amp; Material inputs'!$C$18/'Building &amp; Material inputs'!$C$19</f>
        <v>0</v>
      </c>
      <c r="BI63" s="170">
        <f>AG63/'Building &amp; Material inputs'!$C$18/'Building &amp; Material inputs'!$C$19</f>
        <v>0</v>
      </c>
      <c r="BJ63" s="170">
        <f>AH63/'Building &amp; Material inputs'!$C$18/'Building &amp; Material inputs'!$C$19</f>
        <v>0</v>
      </c>
      <c r="BK63" s="170">
        <f>AI63/'Building &amp; Material inputs'!$C$18/'Building &amp; Material inputs'!$C$19</f>
        <v>0</v>
      </c>
      <c r="BL63" s="170">
        <f>AJ63/'Building &amp; Material inputs'!$C$18/'Building &amp; Material inputs'!$C$19</f>
        <v>0</v>
      </c>
      <c r="BM63" s="170">
        <f>AK63/'Building &amp; Material inputs'!$C$18/'Building &amp; Material inputs'!$C$19</f>
        <v>0</v>
      </c>
      <c r="BN63" s="170">
        <f>AL63/'Building &amp; Material inputs'!$C$18/'Building &amp; Material inputs'!$C$19</f>
        <v>0</v>
      </c>
      <c r="BO63" s="170">
        <f>AM63/'Building &amp; Material inputs'!$C$18/'Building &amp; Material inputs'!$C$19</f>
        <v>0</v>
      </c>
    </row>
    <row r="64" spans="2:67" ht="15.75" thickBot="1" x14ac:dyDescent="0.3">
      <c r="B64" s="334"/>
      <c r="C64" s="322"/>
      <c r="D64" s="362" t="s">
        <v>609</v>
      </c>
      <c r="E64" s="362"/>
      <c r="F64" s="362"/>
      <c r="G64" s="362"/>
      <c r="H64" s="362"/>
      <c r="I64" s="362"/>
      <c r="J64" s="363"/>
      <c r="K64" s="128"/>
      <c r="L64" s="147">
        <f>SUM(L38:L63)</f>
        <v>48981.070699999997</v>
      </c>
      <c r="M64" s="206">
        <f>SUM(M38:M63)</f>
        <v>36235.515159999995</v>
      </c>
      <c r="N64" s="201">
        <f t="shared" ref="N64:AM64" si="3">SUM(N38:N63)</f>
        <v>217576.02679999999</v>
      </c>
      <c r="O64" s="201">
        <f t="shared" si="3"/>
        <v>469.94282999999996</v>
      </c>
      <c r="P64" s="201">
        <f t="shared" si="3"/>
        <v>13064.074939999999</v>
      </c>
      <c r="Q64" s="201">
        <f t="shared" si="3"/>
        <v>0</v>
      </c>
      <c r="R64" s="201">
        <f t="shared" si="3"/>
        <v>65.177669699999996</v>
      </c>
      <c r="S64" s="201">
        <f t="shared" si="3"/>
        <v>33643.851479999998</v>
      </c>
      <c r="T64" s="201">
        <f t="shared" si="3"/>
        <v>206232.16599999997</v>
      </c>
      <c r="U64" s="201">
        <f t="shared" si="3"/>
        <v>1.8061719131999998E-2</v>
      </c>
      <c r="V64" s="201">
        <f t="shared" si="3"/>
        <v>65.101689999999991</v>
      </c>
      <c r="W64" s="201">
        <f t="shared" si="3"/>
        <v>23.220434480000002</v>
      </c>
      <c r="X64" s="201">
        <f t="shared" si="3"/>
        <v>3.6444578699999997</v>
      </c>
      <c r="Y64" s="201">
        <f t="shared" si="3"/>
        <v>9.2566597195999989E-4</v>
      </c>
      <c r="Z64" s="201">
        <f t="shared" si="3"/>
        <v>880.88848999999993</v>
      </c>
      <c r="AA64" s="201">
        <f t="shared" si="3"/>
        <v>12812.4954</v>
      </c>
      <c r="AB64" s="201">
        <f t="shared" si="3"/>
        <v>8.18664266E-4</v>
      </c>
      <c r="AC64" s="201">
        <f t="shared" si="3"/>
        <v>3.6462498499999998</v>
      </c>
      <c r="AD64" s="201">
        <f t="shared" si="3"/>
        <v>2.8614318299999999</v>
      </c>
      <c r="AE64" s="201">
        <f t="shared" si="3"/>
        <v>-3.2259010899999994</v>
      </c>
      <c r="AF64" s="201">
        <f t="shared" si="3"/>
        <v>8.6776286470649486E-5</v>
      </c>
      <c r="AG64" s="201">
        <f t="shared" si="3"/>
        <v>9.4322587761359991</v>
      </c>
      <c r="AH64" s="201">
        <f t="shared" si="3"/>
        <v>131.61051024</v>
      </c>
      <c r="AI64" s="201">
        <f t="shared" si="3"/>
        <v>3.4809154974400002E-4</v>
      </c>
      <c r="AJ64" s="201">
        <f t="shared" si="3"/>
        <v>0.31544273134856005</v>
      </c>
      <c r="AK64" s="201">
        <f t="shared" si="3"/>
        <v>1.2627247357624001</v>
      </c>
      <c r="AL64" s="201">
        <f t="shared" si="3"/>
        <v>8.0012264191119987E-3</v>
      </c>
      <c r="AM64" s="205">
        <f t="shared" si="3"/>
        <v>6.2031642752719997E-7</v>
      </c>
      <c r="AO64" s="201">
        <f t="shared" ref="AO64:BO64" si="4">SUM(AO38:AO63)</f>
        <v>2.8141903665734698</v>
      </c>
      <c r="AP64" s="201">
        <f t="shared" si="4"/>
        <v>16.897796427461945</v>
      </c>
      <c r="AQ64" s="201">
        <f t="shared" si="4"/>
        <v>3.6497579217148184E-2</v>
      </c>
      <c r="AR64" s="201">
        <f t="shared" si="4"/>
        <v>1.0146066278347312</v>
      </c>
      <c r="AS64" s="201">
        <f t="shared" si="4"/>
        <v>0</v>
      </c>
      <c r="AT64" s="201">
        <f t="shared" si="4"/>
        <v>5.0619501164958069E-3</v>
      </c>
      <c r="AU64" s="201">
        <f t="shared" si="4"/>
        <v>2.6129117334575955</v>
      </c>
      <c r="AV64" s="201">
        <f t="shared" si="4"/>
        <v>16.016788288288289</v>
      </c>
      <c r="AW64" s="201">
        <f t="shared" si="4"/>
        <v>1.402743020503262E-6</v>
      </c>
      <c r="AX64" s="201">
        <f t="shared" si="4"/>
        <v>5.0560492388940659E-3</v>
      </c>
      <c r="AY64" s="201">
        <f t="shared" si="4"/>
        <v>1.8033888226157194E-3</v>
      </c>
      <c r="AZ64" s="201">
        <f t="shared" si="4"/>
        <v>2.8304270503261883E-4</v>
      </c>
      <c r="BA64" s="201">
        <f t="shared" si="4"/>
        <v>7.1890802420006212E-8</v>
      </c>
      <c r="BB64" s="201">
        <f t="shared" si="4"/>
        <v>6.8413209847778822E-2</v>
      </c>
      <c r="BC64" s="201">
        <f t="shared" si="4"/>
        <v>0.99506798695246967</v>
      </c>
      <c r="BD64" s="201">
        <f t="shared" si="4"/>
        <v>6.35806357564461E-8</v>
      </c>
      <c r="BE64" s="201">
        <f t="shared" si="4"/>
        <v>2.8318187713575647E-4</v>
      </c>
      <c r="BF64" s="201">
        <f t="shared" si="4"/>
        <v>2.2222987185461322E-4</v>
      </c>
      <c r="BG64" s="201">
        <f t="shared" si="4"/>
        <v>-2.5053596536191364E-4</v>
      </c>
      <c r="BH64" s="201">
        <f t="shared" si="4"/>
        <v>6.7393822981243782E-9</v>
      </c>
      <c r="BI64" s="201">
        <f t="shared" si="4"/>
        <v>7.3254572663373715E-4</v>
      </c>
      <c r="BJ64" s="201">
        <f t="shared" si="4"/>
        <v>1.0221381658900281E-2</v>
      </c>
      <c r="BK64" s="201">
        <f t="shared" si="4"/>
        <v>2.7034137134513825E-8</v>
      </c>
      <c r="BL64" s="201">
        <f t="shared" si="4"/>
        <v>2.4498503521944705E-5</v>
      </c>
      <c r="BM64" s="201">
        <f t="shared" si="4"/>
        <v>9.806809069294813E-5</v>
      </c>
      <c r="BN64" s="201">
        <f t="shared" si="4"/>
        <v>6.2140621459397337E-7</v>
      </c>
      <c r="BO64" s="201">
        <f t="shared" si="4"/>
        <v>4.8176174862317497E-11</v>
      </c>
    </row>
    <row r="65" spans="2:67" ht="15" customHeight="1" x14ac:dyDescent="0.25">
      <c r="B65" s="334"/>
      <c r="C65" s="304" t="s">
        <v>71</v>
      </c>
      <c r="D65" s="302" t="s">
        <v>90</v>
      </c>
      <c r="E65" s="302" t="s">
        <v>93</v>
      </c>
      <c r="F65" s="8" t="s">
        <v>140</v>
      </c>
      <c r="G65" s="7" t="s">
        <v>19</v>
      </c>
      <c r="H65" s="7" t="str">
        <f>'Material quantities'!G65</f>
        <v>CON1</v>
      </c>
      <c r="I65" s="38">
        <f>'Material quantities'!O65</f>
        <v>29.533499999999997</v>
      </c>
      <c r="J65" s="42" t="s">
        <v>14</v>
      </c>
      <c r="K65" s="2"/>
      <c r="L65" s="144">
        <f>VLOOKUP($H65,'Material impact data'!$E$19:$AM$61,6,0)/VLOOKUP($H65,'Material impact data'!$E$19:$AM$61,4,0)*$I65</f>
        <v>3493.2223799999997</v>
      </c>
      <c r="M65" s="138">
        <f>VLOOKUP($H65,'Material impact data'!$E$19:$AM$61,'Material impact data'!M$15,0)/VLOOKUP($H65,'Material impact data'!$E$19:$AM$61,4,0)*$I65</f>
        <v>5611.3649999999998</v>
      </c>
      <c r="N65" s="138">
        <f>VLOOKUP($H65,'Material impact data'!$E$19:$AM$61,'Material impact data'!N$15,0)/VLOOKUP($H65,'Material impact data'!$E$19:$AM$61,4,0)*$I65</f>
        <v>41346.899999999994</v>
      </c>
      <c r="O65" s="180">
        <f>VLOOKUP($H65,'Material impact data'!$E$19:$AM$61,'Material impact data'!O$15,0)/VLOOKUP($H65,'Material impact data'!$E$19:$AM$61,4,0)*$I65</f>
        <v>101.00456999999999</v>
      </c>
      <c r="P65" s="180">
        <f>VLOOKUP($H65,'Material impact data'!$E$19:$AM$61,'Material impact data'!P$15,0)/VLOOKUP($H65,'Material impact data'!$E$19:$AM$61,4,0)*$I65</f>
        <v>1742.4764999999998</v>
      </c>
      <c r="Q65" s="179">
        <f>VLOOKUP($H65,'Material impact data'!$E$19:$AM$61,'Material impact data'!Q$15,0)/VLOOKUP($H65,'Material impact data'!$E$19:$AM$61,4,0)*$I65</f>
        <v>0</v>
      </c>
      <c r="R65" s="179">
        <f>VLOOKUP($H65,'Material impact data'!$E$19:$AM$61,'Material impact data'!R$15,0)/VLOOKUP($H65,'Material impact data'!$E$19:$AM$61,4,0)*$I65</f>
        <v>3.5735534999999996</v>
      </c>
      <c r="S65" s="138">
        <f>VLOOKUP($H65,'Material impact data'!$E$19:$AM$61,'Material impact data'!S$15,0)/VLOOKUP($H65,'Material impact data'!$E$19:$AM$61,4,0)*$I65</f>
        <v>8328.4469999999983</v>
      </c>
      <c r="T65" s="138">
        <f>VLOOKUP($H65,'Material impact data'!$E$19:$AM$61,'Material impact data'!T$15,0)/VLOOKUP($H65,'Material impact data'!$E$19:$AM$61,4,0)*$I65</f>
        <v>40165.56</v>
      </c>
      <c r="U65" s="138">
        <f>VLOOKUP($H65,'Material impact data'!$E$19:$AM$61,'Material impact data'!U$15,0)/VLOOKUP($H65,'Material impact data'!$E$19:$AM$61,4,0)*$I65</f>
        <v>2.0378114999999998E-3</v>
      </c>
      <c r="V65" s="138">
        <f>VLOOKUP($H65,'Material impact data'!$E$19:$AM$61,'Material impact data'!V$15,0)/VLOOKUP($H65,'Material impact data'!$E$19:$AM$61,4,0)*$I65</f>
        <v>12.876605999999999</v>
      </c>
      <c r="W65" s="138">
        <f>VLOOKUP($H65,'Material impact data'!$E$19:$AM$61,'Material impact data'!W$15,0)/VLOOKUP($H65,'Material impact data'!$E$19:$AM$61,4,0)*$I65</f>
        <v>4.13469</v>
      </c>
      <c r="X65" s="138">
        <f>VLOOKUP($H65,'Material impact data'!$E$19:$AM$61,'Material impact data'!X$15,0)/VLOOKUP($H65,'Material impact data'!$E$19:$AM$61,4,0)*$I65</f>
        <v>0.46958264999999999</v>
      </c>
      <c r="Y65" s="138">
        <f>VLOOKUP($H65,'Material impact data'!$E$19:$AM$61,'Material impact data'!Y$15,0)/VLOOKUP($H65,'Material impact data'!$E$19:$AM$61,4,0)*$I65</f>
        <v>9.8937224999999987E-5</v>
      </c>
      <c r="Z65" s="180">
        <f>VLOOKUP($H65,'Material impact data'!$E$19:$AM$61,'Material impact data'!Z$15,0)/VLOOKUP($H65,'Material impact data'!$E$19:$AM$61,4,0)*$I65</f>
        <v>128.17538999999999</v>
      </c>
      <c r="AA65" s="180">
        <f>VLOOKUP($H65,'Material impact data'!$E$19:$AM$61,'Material impact data'!AA$15,0)/VLOOKUP($H65,'Material impact data'!$E$19:$AM$61,4,0)*$I65</f>
        <v>1736.5697999999998</v>
      </c>
      <c r="AB65" s="180">
        <f>VLOOKUP($H65,'Material impact data'!$E$19:$AM$61,'Material impact data'!AB$15,0)/VLOOKUP($H65,'Material impact data'!$E$19:$AM$61,4,0)*$I65</f>
        <v>9.0963179999999989E-6</v>
      </c>
      <c r="AC65" s="180">
        <f>VLOOKUP($H65,'Material impact data'!$E$19:$AM$61,'Material impact data'!AC$15,0)/VLOOKUP($H65,'Material impact data'!$E$19:$AM$61,4,0)*$I65</f>
        <v>0.29828834999999998</v>
      </c>
      <c r="AD65" s="180">
        <f>VLOOKUP($H65,'Material impact data'!$E$19:$AM$61,'Material impact data'!AD$15,0)/VLOOKUP($H65,'Material impact data'!$E$19:$AM$61,4,0)*$I65</f>
        <v>7.1766404999999991E-2</v>
      </c>
      <c r="AE65" s="180">
        <f>VLOOKUP($H65,'Material impact data'!$E$19:$AM$61,'Material impact data'!AE$15,0)/VLOOKUP($H65,'Material impact data'!$E$19:$AM$61,4,0)*$I65</f>
        <v>-9.9527894999999991E-2</v>
      </c>
      <c r="AF65" s="180">
        <f>VLOOKUP($H65,'Material impact data'!$E$19:$AM$61,'Material impact data'!AF$15,0)/VLOOKUP($H65,'Material impact data'!$E$19:$AM$61,4,0)*$I65</f>
        <v>2.1145985999999997E-14</v>
      </c>
      <c r="AG65" s="179">
        <f>VLOOKUP($H65,'Material impact data'!$E$19:$AM$61,'Material impact data'!AG$15,0)/VLOOKUP($H65,'Material impact data'!$E$19:$AM$61,4,0)*$I65</f>
        <v>0.53160299999999994</v>
      </c>
      <c r="AH65" s="179">
        <f>VLOOKUP($H65,'Material impact data'!$E$19:$AM$61,'Material impact data'!AH$15,0)/VLOOKUP($H65,'Material impact data'!$E$19:$AM$61,4,0)*$I65</f>
        <v>7.2652409999999987</v>
      </c>
      <c r="AI65" s="179">
        <f>VLOOKUP($H65,'Material impact data'!$E$19:$AM$61,'Material impact data'!AI$15,0)/VLOOKUP($H65,'Material impact data'!$E$19:$AM$61,4,0)*$I65</f>
        <v>1.9226308499999999E-5</v>
      </c>
      <c r="AJ65" s="179">
        <f>VLOOKUP($H65,'Material impact data'!$E$19:$AM$61,'Material impact data'!AJ$15,0)/VLOOKUP($H65,'Material impact data'!$E$19:$AM$61,4,0)*$I65</f>
        <v>2.2858928999999997E-3</v>
      </c>
      <c r="AK65" s="179">
        <f>VLOOKUP($H65,'Material impact data'!$E$19:$AM$61,'Material impact data'!AK$15,0)/VLOOKUP($H65,'Material impact data'!$E$19:$AM$61,4,0)*$I65</f>
        <v>9.3621194999999983E-3</v>
      </c>
      <c r="AL65" s="179">
        <f>VLOOKUP($H65,'Material impact data'!$E$19:$AM$61,'Material impact data'!AL$15,0)/VLOOKUP($H65,'Material impact data'!$E$19:$AM$61,4,0)*$I65</f>
        <v>4.4300249999999997E-4</v>
      </c>
      <c r="AM65" s="179">
        <f>VLOOKUP($H65,'Material impact data'!$E$19:$AM$61,'Material impact data'!AM$15,0)/VLOOKUP($H65,'Material impact data'!$E$19:$AM$61,4,0)*$I65</f>
        <v>3.4258859999999991E-8</v>
      </c>
      <c r="AO65" s="189">
        <f>M65/'Building &amp; Material inputs'!$C$18/'Building &amp; Material inputs'!$C$19</f>
        <v>0.43580032618825726</v>
      </c>
      <c r="AP65" s="189">
        <f>N65/'Building &amp; Material inputs'!$C$18/'Building &amp; Material inputs'!$C$19</f>
        <v>3.2111602982292635</v>
      </c>
      <c r="AQ65" s="141">
        <f>O65/'Building &amp; Material inputs'!$C$18/'Building &amp; Material inputs'!$C$19</f>
        <v>7.8444058713886301E-3</v>
      </c>
      <c r="AR65" s="141">
        <f>P65/'Building &amp; Material inputs'!$C$18/'Building &amp; Material inputs'!$C$19</f>
        <v>0.13532746971109039</v>
      </c>
      <c r="AS65" s="188">
        <f>Q65/'Building &amp; Material inputs'!$C$18/'Building &amp; Material inputs'!$C$19</f>
        <v>0</v>
      </c>
      <c r="AT65" s="188">
        <f>R65/'Building &amp; Material inputs'!$C$18/'Building &amp; Material inputs'!$C$19</f>
        <v>2.7753599720410063E-4</v>
      </c>
      <c r="AU65" s="189">
        <f>S65/'Building &amp; Material inputs'!$C$18/'Building &amp; Material inputs'!$C$19</f>
        <v>0.64681943150046595</v>
      </c>
      <c r="AV65" s="189">
        <f>T65/'Building &amp; Material inputs'!$C$18/'Building &amp; Material inputs'!$C$19</f>
        <v>3.1194128611369991</v>
      </c>
      <c r="AW65" s="189">
        <f>U65/'Building &amp; Material inputs'!$C$18/'Building &amp; Material inputs'!$C$19</f>
        <v>1.5826432898415656E-7</v>
      </c>
      <c r="AX65" s="189">
        <f>V65/'Building &amp; Material inputs'!$C$18/'Building &amp; Material inputs'!$C$19</f>
        <v>1.0000470643056849E-3</v>
      </c>
      <c r="AY65" s="189">
        <f>W65/'Building &amp; Material inputs'!$C$18/'Building &amp; Material inputs'!$C$19</f>
        <v>3.2111602982292639E-4</v>
      </c>
      <c r="AZ65" s="189">
        <f>X65/'Building &amp; Material inputs'!$C$18/'Building &amp; Material inputs'!$C$19</f>
        <v>3.6469606244175208E-5</v>
      </c>
      <c r="BA65" s="189">
        <f>Y65/'Building &amp; Material inputs'!$C$18/'Building &amp; Material inputs'!$C$19</f>
        <v>7.6838478564771665E-9</v>
      </c>
      <c r="BB65" s="141">
        <f>Z65/'Building &amp; Material inputs'!$C$18/'Building &amp; Material inputs'!$C$19</f>
        <v>9.9545969245107176E-3</v>
      </c>
      <c r="BC65" s="141">
        <f>AA65/'Building &amp; Material inputs'!$C$18/'Building &amp; Material inputs'!$C$19</f>
        <v>0.13486873252562906</v>
      </c>
      <c r="BD65" s="141">
        <f>AB65/'Building &amp; Material inputs'!$C$18/'Building &amp; Material inputs'!$C$19</f>
        <v>7.0645526561043795E-10</v>
      </c>
      <c r="BE65" s="141">
        <f>AC65/'Building &amp; Material inputs'!$C$18/'Building &amp; Material inputs'!$C$19</f>
        <v>2.3166227865796834E-5</v>
      </c>
      <c r="BF65" s="141">
        <f>AD65/'Building &amp; Material inputs'!$C$18/'Building &amp; Material inputs'!$C$19</f>
        <v>5.5736568033550785E-6</v>
      </c>
      <c r="BG65" s="141">
        <f>AE65/'Building &amp; Material inputs'!$C$18/'Building &amp; Material inputs'!$C$19</f>
        <v>-7.7297215750232992E-6</v>
      </c>
      <c r="BH65" s="141">
        <f>AF65/'Building &amp; Material inputs'!$C$18/'Building &amp; Material inputs'!$C$19</f>
        <v>1.6422791239515377E-18</v>
      </c>
      <c r="BI65" s="188">
        <f>AG65/'Building &amp; Material inputs'!$C$18/'Building &amp; Material inputs'!$C$19</f>
        <v>4.1286346691519098E-5</v>
      </c>
      <c r="BJ65" s="188">
        <f>AH65/'Building &amp; Material inputs'!$C$18/'Building &amp; Material inputs'!$C$19</f>
        <v>5.6424673811742777E-4</v>
      </c>
      <c r="BK65" s="188">
        <f>AI65/'Building &amp; Material inputs'!$C$18/'Building &amp; Material inputs'!$C$19</f>
        <v>1.4931895386766077E-9</v>
      </c>
      <c r="BL65" s="188">
        <f>AJ65/'Building &amp; Material inputs'!$C$18/'Building &amp; Material inputs'!$C$19</f>
        <v>1.7753129077353214E-7</v>
      </c>
      <c r="BM65" s="188">
        <f>AK65/'Building &amp; Material inputs'!$C$18/'Building &amp; Material inputs'!$C$19</f>
        <v>7.2709843895619754E-7</v>
      </c>
      <c r="BN65" s="188">
        <f>AL65/'Building &amp; Material inputs'!$C$18/'Building &amp; Material inputs'!$C$19</f>
        <v>3.4405288909599256E-8</v>
      </c>
      <c r="BO65" s="188">
        <f>AM65/'Building &amp; Material inputs'!$C$18/'Building &amp; Material inputs'!$C$19</f>
        <v>2.6606756756756756E-12</v>
      </c>
    </row>
    <row r="66" spans="2:67" x14ac:dyDescent="0.25">
      <c r="B66" s="334"/>
      <c r="C66" s="305"/>
      <c r="D66" s="302"/>
      <c r="E66" s="302"/>
      <c r="F66" s="8" t="s">
        <v>141</v>
      </c>
      <c r="G66" s="7" t="s">
        <v>22</v>
      </c>
      <c r="H66" s="7" t="str">
        <f>'Material quantities'!G66</f>
        <v>REB</v>
      </c>
      <c r="I66" s="38">
        <f>'Material quantities'!O66</f>
        <v>886.00499999999988</v>
      </c>
      <c r="J66" s="42" t="s">
        <v>15</v>
      </c>
      <c r="K66" s="2"/>
      <c r="L66" s="144">
        <f>VLOOKUP($H66,'Material impact data'!$E$19:$AM$61,6,0)/VLOOKUP($H66,'Material impact data'!$E$19:$AM$61,4,0)*$I66</f>
        <v>1594.8089999999997</v>
      </c>
      <c r="M66" s="138">
        <f>VLOOKUP($H66,'Material impact data'!$E$19:$AM$61,'Material impact data'!M$15,0)/VLOOKUP($H66,'Material impact data'!$E$19:$AM$61,4,0)*$I66</f>
        <v>1403.43192</v>
      </c>
      <c r="N66" s="138">
        <f>VLOOKUP($H66,'Material impact data'!$E$19:$AM$61,'Material impact data'!N$15,0)/VLOOKUP($H66,'Material impact data'!$E$19:$AM$61,4,0)*$I66</f>
        <v>6374.8059749999993</v>
      </c>
      <c r="O66" s="180">
        <f>VLOOKUP($H66,'Material impact data'!$E$19:$AM$61,'Material impact data'!O$15,0)/VLOOKUP($H66,'Material impact data'!$E$19:$AM$61,4,0)*$I66</f>
        <v>10.632059999999999</v>
      </c>
      <c r="P66" s="180">
        <f>VLOOKUP($H66,'Material impact data'!$E$19:$AM$61,'Material impact data'!P$15,0)/VLOOKUP($H66,'Material impact data'!$E$19:$AM$61,4,0)*$I66</f>
        <v>581.21927999999991</v>
      </c>
      <c r="Q66" s="179">
        <f>VLOOKUP($H66,'Material impact data'!$E$19:$AM$61,'Material impact data'!Q$15,0)/VLOOKUP($H66,'Material impact data'!$E$19:$AM$61,4,0)*$I66</f>
        <v>0</v>
      </c>
      <c r="R66" s="179">
        <f>VLOOKUP($H66,'Material impact data'!$E$19:$AM$61,'Material impact data'!R$15,0)/VLOOKUP($H66,'Material impact data'!$E$19:$AM$61,4,0)*$I66</f>
        <v>2.6580149999999993E-2</v>
      </c>
      <c r="S66" s="138">
        <f>VLOOKUP($H66,'Material impact data'!$E$19:$AM$61,'Material impact data'!S$15,0)/VLOOKUP($H66,'Material impact data'!$E$19:$AM$61,4,0)*$I66</f>
        <v>466.92463499999997</v>
      </c>
      <c r="T66" s="138">
        <f>VLOOKUP($H66,'Material impact data'!$E$19:$AM$61,'Material impact data'!T$15,0)/VLOOKUP($H66,'Material impact data'!$E$19:$AM$61,4,0)*$I66</f>
        <v>5781.1826249999995</v>
      </c>
      <c r="U66" s="138">
        <f>VLOOKUP($H66,'Material impact data'!$E$19:$AM$61,'Material impact data'!U$15,0)/VLOOKUP($H66,'Material impact data'!$E$19:$AM$61,4,0)*$I66</f>
        <v>9.0310489649999984E-4</v>
      </c>
      <c r="V66" s="138">
        <f>VLOOKUP($H66,'Material impact data'!$E$19:$AM$61,'Material impact data'!V$15,0)/VLOOKUP($H66,'Material impact data'!$E$19:$AM$61,4,0)*$I66</f>
        <v>1.7720099999999999</v>
      </c>
      <c r="W66" s="138">
        <f>VLOOKUP($H66,'Material impact data'!$E$19:$AM$61,'Material impact data'!W$15,0)/VLOOKUP($H66,'Material impact data'!$E$19:$AM$61,4,0)*$I66</f>
        <v>0.75487625999999985</v>
      </c>
      <c r="X66" s="138">
        <f>VLOOKUP($H66,'Material impact data'!$E$19:$AM$61,'Material impact data'!X$15,0)/VLOOKUP($H66,'Material impact data'!$E$19:$AM$61,4,0)*$I66</f>
        <v>0.16656893999999997</v>
      </c>
      <c r="Y66" s="138">
        <f>VLOOKUP($H66,'Material impact data'!$E$19:$AM$61,'Material impact data'!Y$15,0)/VLOOKUP($H66,'Material impact data'!$E$19:$AM$61,4,0)*$I66</f>
        <v>4.7759213519999988E-5</v>
      </c>
      <c r="Z66" s="180">
        <f>VLOOKUP($H66,'Material impact data'!$E$19:$AM$61,'Material impact data'!Z$15,0)/VLOOKUP($H66,'Material impact data'!$E$19:$AM$61,4,0)*$I66</f>
        <v>36.326204999999995</v>
      </c>
      <c r="AA66" s="180">
        <f>VLOOKUP($H66,'Material impact data'!$E$19:$AM$61,'Material impact data'!AA$15,0)/VLOOKUP($H66,'Material impact data'!$E$19:$AM$61,4,0)*$I66</f>
        <v>562.61317499999996</v>
      </c>
      <c r="AB66" s="180">
        <f>VLOOKUP($H66,'Material impact data'!$E$19:$AM$61,'Material impact data'!AB$15,0)/VLOOKUP($H66,'Material impact data'!$E$19:$AM$61,4,0)*$I66</f>
        <v>6.3260756999999998E-5</v>
      </c>
      <c r="AC66" s="180">
        <f>VLOOKUP($H66,'Material impact data'!$E$19:$AM$61,'Material impact data'!AC$15,0)/VLOOKUP($H66,'Material impact data'!$E$19:$AM$61,4,0)*$I66</f>
        <v>0.21264119999999995</v>
      </c>
      <c r="AD66" s="180">
        <f>VLOOKUP($H66,'Material impact data'!$E$19:$AM$61,'Material impact data'!AD$15,0)/VLOOKUP($H66,'Material impact data'!$E$19:$AM$61,4,0)*$I66</f>
        <v>3.7212209999999996E-2</v>
      </c>
      <c r="AE66" s="180">
        <f>VLOOKUP($H66,'Material impact data'!$E$19:$AM$61,'Material impact data'!AE$15,0)/VLOOKUP($H66,'Material impact data'!$E$19:$AM$61,4,0)*$I66</f>
        <v>7.9740449999999973E-3</v>
      </c>
      <c r="AF66" s="180">
        <f>VLOOKUP($H66,'Material impact data'!$E$19:$AM$61,'Material impact data'!AF$15,0)/VLOOKUP($H66,'Material impact data'!$E$19:$AM$61,4,0)*$I66</f>
        <v>6.9639992999999985E-6</v>
      </c>
      <c r="AG66" s="179">
        <f>VLOOKUP($H66,'Material impact data'!$E$19:$AM$61,'Material impact data'!AG$15,0)/VLOOKUP($H66,'Material impact data'!$E$19:$AM$61,4,0)*$I66</f>
        <v>7.4335819499999991E-5</v>
      </c>
      <c r="AH66" s="179">
        <f>VLOOKUP($H66,'Material impact data'!$E$19:$AM$61,'Material impact data'!AH$15,0)/VLOOKUP($H66,'Material impact data'!$E$19:$AM$61,4,0)*$I66</f>
        <v>8.8600499999999982E-4</v>
      </c>
      <c r="AI66" s="179">
        <f>VLOOKUP($H66,'Material impact data'!$E$19:$AM$61,'Material impact data'!AI$15,0)/VLOOKUP($H66,'Material impact data'!$E$19:$AM$61,4,0)*$I66</f>
        <v>2.7466154999999996E-9</v>
      </c>
      <c r="AJ66" s="179">
        <f>VLOOKUP($H66,'Material impact data'!$E$19:$AM$61,'Material impact data'!AJ$15,0)/VLOOKUP($H66,'Material impact data'!$E$19:$AM$61,4,0)*$I66</f>
        <v>3.2693584499999995E-7</v>
      </c>
      <c r="AK66" s="179">
        <f>VLOOKUP($H66,'Material impact data'!$E$19:$AM$61,'Material impact data'!AK$15,0)/VLOOKUP($H66,'Material impact data'!$E$19:$AM$61,4,0)*$I66</f>
        <v>1.3378675499999997E-6</v>
      </c>
      <c r="AL66" s="179">
        <f>VLOOKUP($H66,'Material impact data'!$E$19:$AM$61,'Material impact data'!AL$15,0)/VLOOKUP($H66,'Material impact data'!$E$19:$AM$61,4,0)*$I66</f>
        <v>6.317215649999999E-8</v>
      </c>
      <c r="AM66" s="179">
        <f>VLOOKUP($H66,'Material impact data'!$E$19:$AM$61,'Material impact data'!AM$15,0)/VLOOKUP($H66,'Material impact data'!$E$19:$AM$61,4,0)*$I66</f>
        <v>4.8996076499999994E-12</v>
      </c>
      <c r="AO66" s="189">
        <f>M66/'Building &amp; Material inputs'!$C$18/'Building &amp; Material inputs'!$C$19</f>
        <v>0.10899595526561046</v>
      </c>
      <c r="AP66" s="189">
        <f>N66/'Building &amp; Material inputs'!$C$18/'Building &amp; Material inputs'!$C$19</f>
        <v>0.49509210740913323</v>
      </c>
      <c r="AQ66" s="141">
        <f>O66/'Building &amp; Material inputs'!$C$18/'Building &amp; Material inputs'!$C$19</f>
        <v>8.257269338303821E-4</v>
      </c>
      <c r="AR66" s="141">
        <f>P66/'Building &amp; Material inputs'!$C$18/'Building &amp; Material inputs'!$C$19</f>
        <v>4.5139739049394223E-2</v>
      </c>
      <c r="AS66" s="188">
        <f>Q66/'Building &amp; Material inputs'!$C$18/'Building &amp; Material inputs'!$C$19</f>
        <v>0</v>
      </c>
      <c r="AT66" s="188">
        <f>R66/'Building &amp; Material inputs'!$C$18/'Building &amp; Material inputs'!$C$19</f>
        <v>2.0643173345759552E-6</v>
      </c>
      <c r="AU66" s="189">
        <f>S66/'Building &amp; Material inputs'!$C$18/'Building &amp; Material inputs'!$C$19</f>
        <v>3.6263174510717616E-2</v>
      </c>
      <c r="AV66" s="189">
        <f>T66/'Building &amp; Material inputs'!$C$18/'Building &amp; Material inputs'!$C$19</f>
        <v>0.44898902027027027</v>
      </c>
      <c r="AW66" s="189">
        <f>U66/'Building &amp; Material inputs'!$C$18/'Building &amp; Material inputs'!$C$19</f>
        <v>7.0138621971109038E-8</v>
      </c>
      <c r="AX66" s="189">
        <f>V66/'Building &amp; Material inputs'!$C$18/'Building &amp; Material inputs'!$C$19</f>
        <v>1.3762115563839702E-4</v>
      </c>
      <c r="AY66" s="189">
        <f>W66/'Building &amp; Material inputs'!$C$18/'Building &amp; Material inputs'!$C$19</f>
        <v>5.862661230195712E-5</v>
      </c>
      <c r="AZ66" s="189">
        <f>X66/'Building &amp; Material inputs'!$C$18/'Building &amp; Material inputs'!$C$19</f>
        <v>1.2936388630009317E-5</v>
      </c>
      <c r="BA66" s="189">
        <f>Y66/'Building &amp; Material inputs'!$C$18/'Building &amp; Material inputs'!$C$19</f>
        <v>3.7091653867660756E-9</v>
      </c>
      <c r="BB66" s="141">
        <f>Z66/'Building &amp; Material inputs'!$C$18/'Building &amp; Material inputs'!$C$19</f>
        <v>2.8212336905871389E-3</v>
      </c>
      <c r="BC66" s="141">
        <f>AA66/'Building &amp; Material inputs'!$C$18/'Building &amp; Material inputs'!$C$19</f>
        <v>4.3694716915191049E-2</v>
      </c>
      <c r="BD66" s="141">
        <f>AB66/'Building &amp; Material inputs'!$C$18/'Building &amp; Material inputs'!$C$19</f>
        <v>4.913075256290773E-9</v>
      </c>
      <c r="BE66" s="141">
        <f>AC66/'Building &amp; Material inputs'!$C$18/'Building &amp; Material inputs'!$C$19</f>
        <v>1.6514538676607641E-5</v>
      </c>
      <c r="BF66" s="141">
        <f>AD66/'Building &amp; Material inputs'!$C$18/'Building &amp; Material inputs'!$C$19</f>
        <v>2.8900442684063373E-6</v>
      </c>
      <c r="BG66" s="141">
        <f>AE66/'Building &amp; Material inputs'!$C$18/'Building &amp; Material inputs'!$C$19</f>
        <v>6.192952003727864E-7</v>
      </c>
      <c r="BH66" s="141">
        <f>AF66/'Building &amp; Material inputs'!$C$18/'Building &amp; Material inputs'!$C$19</f>
        <v>5.4085114165890023E-10</v>
      </c>
      <c r="BI66" s="188">
        <f>AG66/'Building &amp; Material inputs'!$C$18/'Building &amp; Material inputs'!$C$19</f>
        <v>5.7732074790307545E-9</v>
      </c>
      <c r="BJ66" s="188">
        <f>AH66/'Building &amp; Material inputs'!$C$18/'Building &amp; Material inputs'!$C$19</f>
        <v>6.8810577819198499E-8</v>
      </c>
      <c r="BK66" s="188">
        <f>AI66/'Building &amp; Material inputs'!$C$18/'Building &amp; Material inputs'!$C$19</f>
        <v>2.1331279123951535E-13</v>
      </c>
      <c r="BL66" s="188">
        <f>AJ66/'Building &amp; Material inputs'!$C$18/'Building &amp; Material inputs'!$C$19</f>
        <v>2.5391103215284249E-11</v>
      </c>
      <c r="BM66" s="188">
        <f>AK66/'Building &amp; Material inputs'!$C$18/'Building &amp; Material inputs'!$C$19</f>
        <v>1.0390397250698973E-10</v>
      </c>
      <c r="BN66" s="188">
        <f>AL66/'Building &amp; Material inputs'!$C$18/'Building &amp; Material inputs'!$C$19</f>
        <v>4.9061941985088528E-12</v>
      </c>
      <c r="BO66" s="188">
        <f>AM66/'Building &amp; Material inputs'!$C$18/'Building &amp; Material inputs'!$C$19</f>
        <v>3.8052249534016773E-16</v>
      </c>
    </row>
    <row r="67" spans="2:67" x14ac:dyDescent="0.25">
      <c r="B67" s="334"/>
      <c r="C67" s="305"/>
      <c r="D67" s="302"/>
      <c r="E67" s="302"/>
      <c r="F67" s="8" t="s">
        <v>142</v>
      </c>
      <c r="G67" s="7" t="s">
        <v>64</v>
      </c>
      <c r="H67" s="7" t="str">
        <f>'Material quantities'!G67</f>
        <v>AGG</v>
      </c>
      <c r="I67" s="38">
        <f>'Material quantities'!O67</f>
        <v>88600.5</v>
      </c>
      <c r="J67" s="42" t="s">
        <v>15</v>
      </c>
      <c r="K67" s="2"/>
      <c r="L67" s="144">
        <f>VLOOKUP($H67,'Material impact data'!$E$19:$AM$61,6,0)/VLOOKUP($H67,'Material impact data'!$E$19:$AM$61,4,0)*$I67</f>
        <v>4430.0250000000005</v>
      </c>
      <c r="M67" s="138">
        <f>VLOOKUP($H67,'Material impact data'!$E$19:$AM$61,'Material impact data'!M$15,0)/VLOOKUP($H67,'Material impact data'!$E$19:$AM$61,4,0)*$I67</f>
        <v>1151.8064999999999</v>
      </c>
      <c r="N67" s="138">
        <f>VLOOKUP($H67,'Material impact data'!$E$19:$AM$61,'Material impact data'!N$15,0)/VLOOKUP($H67,'Material impact data'!$E$19:$AM$61,4,0)*$I67</f>
        <v>2569.4145000000003</v>
      </c>
      <c r="O67" s="180">
        <f>VLOOKUP($H67,'Material impact data'!$E$19:$AM$61,'Material impact data'!O$15,0)/VLOOKUP($H67,'Material impact data'!$E$19:$AM$61,4,0)*$I67</f>
        <v>0</v>
      </c>
      <c r="P67" s="180">
        <f>VLOOKUP($H67,'Material impact data'!$E$19:$AM$61,'Material impact data'!P$15,0)/VLOOKUP($H67,'Material impact data'!$E$19:$AM$61,4,0)*$I67</f>
        <v>1333.0831229999999</v>
      </c>
      <c r="Q67" s="179">
        <f>VLOOKUP($H67,'Material impact data'!$E$19:$AM$61,'Material impact data'!Q$15,0)/VLOOKUP($H67,'Material impact data'!$E$19:$AM$61,4,0)*$I67</f>
        <v>0</v>
      </c>
      <c r="R67" s="179">
        <f>VLOOKUP($H67,'Material impact data'!$E$19:$AM$61,'Material impact data'!R$15,0)/VLOOKUP($H67,'Material impact data'!$E$19:$AM$61,4,0)*$I67</f>
        <v>29144.337070499998</v>
      </c>
      <c r="S67" s="138">
        <f>VLOOKUP($H67,'Material impact data'!$E$19:$AM$61,'Material impact data'!S$15,0)/VLOOKUP($H67,'Material impact data'!$E$19:$AM$61,4,0)*$I67</f>
        <v>203.78115</v>
      </c>
      <c r="T67" s="138">
        <f>VLOOKUP($H67,'Material impact data'!$E$19:$AM$61,'Material impact data'!T$15,0)/VLOOKUP($H67,'Material impact data'!$E$19:$AM$61,4,0)*$I67</f>
        <v>2569.4145000000003</v>
      </c>
      <c r="U67" s="138">
        <f>VLOOKUP($H67,'Material impact data'!$E$19:$AM$61,'Material impact data'!U$15,0)/VLOOKUP($H67,'Material impact data'!$E$19:$AM$61,4,0)*$I67</f>
        <v>1.7720099999999999E-4</v>
      </c>
      <c r="V67" s="138">
        <f>VLOOKUP($H67,'Material impact data'!$E$19:$AM$61,'Material impact data'!V$15,0)/VLOOKUP($H67,'Material impact data'!$E$19:$AM$61,4,0)*$I67</f>
        <v>0.88600500000000004</v>
      </c>
      <c r="W67" s="138">
        <f>VLOOKUP($H67,'Material impact data'!$E$19:$AM$61,'Material impact data'!W$15,0)/VLOOKUP($H67,'Material impact data'!$E$19:$AM$61,4,0)*$I67</f>
        <v>1.7720100000000001</v>
      </c>
      <c r="X67" s="138">
        <f>VLOOKUP($H67,'Material impact data'!$E$19:$AM$61,'Material impact data'!X$15,0)/VLOOKUP($H67,'Material impact data'!$E$19:$AM$61,4,0)*$I67</f>
        <v>0.1063206</v>
      </c>
      <c r="Y67" s="138">
        <f>VLOOKUP($H67,'Material impact data'!$E$19:$AM$61,'Material impact data'!Y$15,0)/VLOOKUP($H67,'Material impact data'!$E$19:$AM$61,4,0)*$I67</f>
        <v>4.075623E-6</v>
      </c>
      <c r="Z67" s="180">
        <f>VLOOKUP($H67,'Material impact data'!$E$19:$AM$61,'Material impact data'!Z$15,0)/VLOOKUP($H67,'Material impact data'!$E$19:$AM$61,4,0)*$I67</f>
        <v>116.5096575</v>
      </c>
      <c r="AA67" s="180">
        <f>VLOOKUP($H67,'Material impact data'!$E$19:$AM$61,'Material impact data'!AA$15,0)/VLOOKUP($H67,'Material impact data'!$E$19:$AM$61,4,0)*$I67</f>
        <v>10851.3462375</v>
      </c>
      <c r="AB67" s="180">
        <f>VLOOKUP($H67,'Material impact data'!$E$19:$AM$61,'Material impact data'!AB$15,0)/VLOOKUP($H67,'Material impact data'!$E$19:$AM$61,4,0)*$I67</f>
        <v>5.9185134E-2</v>
      </c>
      <c r="AC67" s="180">
        <f>VLOOKUP($H67,'Material impact data'!$E$19:$AM$61,'Material impact data'!AC$15,0)/VLOOKUP($H67,'Material impact data'!$E$19:$AM$61,4,0)*$I67</f>
        <v>6.9108390000000002</v>
      </c>
      <c r="AD67" s="180">
        <f>VLOOKUP($H67,'Material impact data'!$E$19:$AM$61,'Material impact data'!AD$15,0)/VLOOKUP($H67,'Material impact data'!$E$19:$AM$61,4,0)*$I67</f>
        <v>1.417608</v>
      </c>
      <c r="AE67" s="180">
        <f>VLOOKUP($H67,'Material impact data'!$E$19:$AM$61,'Material impact data'!AE$15,0)/VLOOKUP($H67,'Material impact data'!$E$19:$AM$61,4,0)*$I67</f>
        <v>0.35440199999999999</v>
      </c>
      <c r="AF67" s="180">
        <f>VLOOKUP($H67,'Material impact data'!$E$19:$AM$61,'Material impact data'!AF$15,0)/VLOOKUP($H67,'Material impact data'!$E$19:$AM$61,4,0)*$I67</f>
        <v>8.8600499999999999E-2</v>
      </c>
      <c r="AG67" s="179">
        <f>VLOOKUP($H67,'Material impact data'!$E$19:$AM$61,'Material impact data'!AG$15,0)/VLOOKUP($H67,'Material impact data'!$E$19:$AM$61,4,0)*$I67</f>
        <v>0.26402948999999998</v>
      </c>
      <c r="AH67" s="179">
        <f>VLOOKUP($H67,'Material impact data'!$E$19:$AM$61,'Material impact data'!AH$15,0)/VLOOKUP($H67,'Material impact data'!$E$19:$AM$61,4,0)*$I67</f>
        <v>37.389411000000003</v>
      </c>
      <c r="AI67" s="179">
        <f>VLOOKUP($H67,'Material impact data'!$E$19:$AM$61,'Material impact data'!AI$15,0)/VLOOKUP($H67,'Material impact data'!$E$19:$AM$61,4,0)*$I67</f>
        <v>9.7726351500000001E-6</v>
      </c>
      <c r="AJ67" s="179">
        <f>VLOOKUP($H67,'Material impact data'!$E$19:$AM$61,'Material impact data'!AJ$15,0)/VLOOKUP($H67,'Material impact data'!$E$19:$AM$61,4,0)*$I67</f>
        <v>1.159780545E-3</v>
      </c>
      <c r="AK67" s="179">
        <f>VLOOKUP($H67,'Material impact data'!$E$19:$AM$61,'Material impact data'!AK$15,0)/VLOOKUP($H67,'Material impact data'!$E$19:$AM$61,4,0)*$I67</f>
        <v>4.7521764179999995E-3</v>
      </c>
      <c r="AL67" s="179">
        <f>VLOOKUP($H67,'Material impact data'!$E$19:$AM$61,'Material impact data'!AL$15,0)/VLOOKUP($H67,'Material impact data'!$E$19:$AM$61,4,0)*$I67</f>
        <v>2.2442506650000003E-4</v>
      </c>
      <c r="AM67" s="179">
        <f>VLOOKUP($H67,'Material impact data'!$E$19:$AM$61,'Material impact data'!AM$15,0)/VLOOKUP($H67,'Material impact data'!$E$19:$AM$61,4,0)*$I67</f>
        <v>1.74542985E-8</v>
      </c>
      <c r="AO67" s="189">
        <f>M67/'Building &amp; Material inputs'!$C$18/'Building &amp; Material inputs'!$C$19</f>
        <v>8.9453751164958059E-2</v>
      </c>
      <c r="AP67" s="189">
        <f>N67/'Building &amp; Material inputs'!$C$18/'Building &amp; Material inputs'!$C$19</f>
        <v>0.19955067567567572</v>
      </c>
      <c r="AQ67" s="141">
        <f>O67/'Building &amp; Material inputs'!$C$18/'Building &amp; Material inputs'!$C$19</f>
        <v>0</v>
      </c>
      <c r="AR67" s="141">
        <f>P67/'Building &amp; Material inputs'!$C$18/'Building &amp; Material inputs'!$C$19</f>
        <v>0.10353239538676608</v>
      </c>
      <c r="AS67" s="188">
        <f>Q67/'Building &amp; Material inputs'!$C$18/'Building &amp; Material inputs'!$C$19</f>
        <v>0</v>
      </c>
      <c r="AT67" s="188">
        <f>R67/'Building &amp; Material inputs'!$C$18/'Building &amp; Material inputs'!$C$19</f>
        <v>2.2634620278424977</v>
      </c>
      <c r="AU67" s="189">
        <f>S67/'Building &amp; Material inputs'!$C$18/'Building &amp; Material inputs'!$C$19</f>
        <v>1.5826432898415659E-2</v>
      </c>
      <c r="AV67" s="189">
        <f>T67/'Building &amp; Material inputs'!$C$18/'Building &amp; Material inputs'!$C$19</f>
        <v>0.19955067567567572</v>
      </c>
      <c r="AW67" s="189">
        <f>U67/'Building &amp; Material inputs'!$C$18/'Building &amp; Material inputs'!$C$19</f>
        <v>1.3762115563839702E-8</v>
      </c>
      <c r="AX67" s="189">
        <f>V67/'Building &amp; Material inputs'!$C$18/'Building &amp; Material inputs'!$C$19</f>
        <v>6.8810577819198522E-5</v>
      </c>
      <c r="AY67" s="189">
        <f>W67/'Building &amp; Material inputs'!$C$18/'Building &amp; Material inputs'!$C$19</f>
        <v>1.3762115563839704E-4</v>
      </c>
      <c r="AZ67" s="189">
        <f>X67/'Building &amp; Material inputs'!$C$18/'Building &amp; Material inputs'!$C$19</f>
        <v>8.2572693383038223E-6</v>
      </c>
      <c r="BA67" s="189">
        <f>Y67/'Building &amp; Material inputs'!$C$18/'Building &amp; Material inputs'!$C$19</f>
        <v>3.1652865796831317E-10</v>
      </c>
      <c r="BB67" s="141">
        <f>Z67/'Building &amp; Material inputs'!$C$18/'Building &amp; Material inputs'!$C$19</f>
        <v>9.0485909832246046E-3</v>
      </c>
      <c r="BC67" s="141">
        <f>AA67/'Building &amp; Material inputs'!$C$18/'Building &amp; Material inputs'!$C$19</f>
        <v>0.84275755184063383</v>
      </c>
      <c r="BD67" s="141">
        <f>AB67/'Building &amp; Material inputs'!$C$18/'Building &amp; Material inputs'!$C$19</f>
        <v>4.596546598322461E-6</v>
      </c>
      <c r="BE67" s="141">
        <f>AC67/'Building &amp; Material inputs'!$C$18/'Building &amp; Material inputs'!$C$19</f>
        <v>5.3672250698974836E-4</v>
      </c>
      <c r="BF67" s="141">
        <f>AD67/'Building &amp; Material inputs'!$C$18/'Building &amp; Material inputs'!$C$19</f>
        <v>1.1009692451071761E-4</v>
      </c>
      <c r="BG67" s="141">
        <f>AE67/'Building &amp; Material inputs'!$C$18/'Building &amp; Material inputs'!$C$19</f>
        <v>2.7524231127679403E-5</v>
      </c>
      <c r="BH67" s="141">
        <f>AF67/'Building &amp; Material inputs'!$C$18/'Building &amp; Material inputs'!$C$19</f>
        <v>6.8810577819198508E-6</v>
      </c>
      <c r="BI67" s="188">
        <f>AG67/'Building &amp; Material inputs'!$C$18/'Building &amp; Material inputs'!$C$19</f>
        <v>2.0505552190121157E-5</v>
      </c>
      <c r="BJ67" s="188">
        <f>AH67/'Building &amp; Material inputs'!$C$18/'Building &amp; Material inputs'!$C$19</f>
        <v>2.9038063839701774E-3</v>
      </c>
      <c r="BK67" s="188">
        <f>AI67/'Building &amp; Material inputs'!$C$18/'Building &amp; Material inputs'!$C$19</f>
        <v>7.5898067334575965E-10</v>
      </c>
      <c r="BL67" s="188">
        <f>AJ67/'Building &amp; Material inputs'!$C$18/'Building &amp; Material inputs'!$C$19</f>
        <v>9.0073046365330852E-8</v>
      </c>
      <c r="BM67" s="188">
        <f>AK67/'Building &amp; Material inputs'!$C$18/'Building &amp; Material inputs'!$C$19</f>
        <v>3.6907241519105313E-7</v>
      </c>
      <c r="BN67" s="188">
        <f>AL67/'Building &amp; Material inputs'!$C$18/'Building &amp; Material inputs'!$C$19</f>
        <v>1.7429719361602985E-8</v>
      </c>
      <c r="BO67" s="188">
        <f>AM67/'Building &amp; Material inputs'!$C$18/'Building &amp; Material inputs'!$C$19</f>
        <v>1.3555683830382107E-12</v>
      </c>
    </row>
    <row r="68" spans="2:67" x14ac:dyDescent="0.25">
      <c r="B68" s="334"/>
      <c r="C68" s="305"/>
      <c r="D68" s="302"/>
      <c r="E68" s="299" t="s">
        <v>489</v>
      </c>
      <c r="F68" s="59" t="s">
        <v>143</v>
      </c>
      <c r="G68" s="60" t="s">
        <v>65</v>
      </c>
      <c r="H68" s="7" t="str">
        <f>'Material quantities'!G68</f>
        <v>CEFT</v>
      </c>
      <c r="I68" s="38">
        <f>'Material quantities'!O68</f>
        <v>257.52</v>
      </c>
      <c r="J68" s="62" t="s">
        <v>332</v>
      </c>
      <c r="K68" s="2"/>
      <c r="L68" s="144">
        <f>VLOOKUP($H68,'Material impact data'!$E$19:$AM$61,6,0)/VLOOKUP($H68,'Material impact data'!$E$19:$AM$61,4,0)*$I68</f>
        <v>8294.7191999999995</v>
      </c>
      <c r="M68" s="138">
        <f>VLOOKUP($H68,'Material impact data'!$E$19:$AM$61,'Material impact data'!M$15,0)/VLOOKUP($H68,'Material impact data'!$E$19:$AM$61,4,0)*$I68</f>
        <v>10506.815999999999</v>
      </c>
      <c r="N68" s="138">
        <f>VLOOKUP($H68,'Material impact data'!$E$19:$AM$61,'Material impact data'!N$15,0)/VLOOKUP($H68,'Material impact data'!$E$19:$AM$61,4,0)*$I68</f>
        <v>48413.759999999995</v>
      </c>
      <c r="O68" s="180">
        <f>VLOOKUP($H68,'Material impact data'!$E$19:$AM$61,'Material impact data'!O$15,0)/VLOOKUP($H68,'Material impact data'!$E$19:$AM$61,4,0)*$I68</f>
        <v>3.2705039999999999</v>
      </c>
      <c r="P68" s="180">
        <f>VLOOKUP($H68,'Material impact data'!$E$19:$AM$61,'Material impact data'!P$15,0)/VLOOKUP($H68,'Material impact data'!$E$19:$AM$61,4,0)*$I68</f>
        <v>2366.6087999999995</v>
      </c>
      <c r="Q68" s="179">
        <f>VLOOKUP($H68,'Material impact data'!$E$19:$AM$61,'Material impact data'!Q$15,0)/VLOOKUP($H68,'Material impact data'!$E$19:$AM$61,4,0)*$I68</f>
        <v>517.61519999999996</v>
      </c>
      <c r="R68" s="179">
        <f>VLOOKUP($H68,'Material impact data'!$E$19:$AM$61,'Material impact data'!R$15,0)/VLOOKUP($H68,'Material impact data'!$E$19:$AM$61,4,0)*$I68</f>
        <v>2678.2080000000001</v>
      </c>
      <c r="S68" s="138">
        <f>VLOOKUP($H68,'Material impact data'!$E$19:$AM$61,'Material impact data'!S$15,0)/VLOOKUP($H68,'Material impact data'!$E$19:$AM$61,4,0)*$I68</f>
        <v>3038.7359999999999</v>
      </c>
      <c r="T68" s="138">
        <f>VLOOKUP($H68,'Material impact data'!$E$19:$AM$61,'Material impact data'!T$15,0)/VLOOKUP($H68,'Material impact data'!$E$19:$AM$61,4,0)*$I68</f>
        <v>41975.759999999995</v>
      </c>
      <c r="U68" s="138">
        <f>VLOOKUP($H68,'Material impact data'!$E$19:$AM$61,'Material impact data'!U$15,0)/VLOOKUP($H68,'Material impact data'!$E$19:$AM$61,4,0)*$I68</f>
        <v>8.884439999999999E-2</v>
      </c>
      <c r="V68" s="138">
        <f>VLOOKUP($H68,'Material impact data'!$E$19:$AM$61,'Material impact data'!V$15,0)/VLOOKUP($H68,'Material impact data'!$E$19:$AM$61,4,0)*$I68</f>
        <v>7.5710879999999996</v>
      </c>
      <c r="W68" s="138">
        <f>VLOOKUP($H68,'Material impact data'!$E$19:$AM$61,'Material impact data'!W$15,0)/VLOOKUP($H68,'Material impact data'!$E$19:$AM$61,4,0)*$I68</f>
        <v>0.90647040000000001</v>
      </c>
      <c r="X68" s="138">
        <f>VLOOKUP($H68,'Material impact data'!$E$19:$AM$61,'Material impact data'!X$15,0)/VLOOKUP($H68,'Material impact data'!$E$19:$AM$61,4,0)*$I68</f>
        <v>0.53821679999999994</v>
      </c>
      <c r="Y68" s="138">
        <f>VLOOKUP($H68,'Material impact data'!$E$19:$AM$61,'Material impact data'!Y$15,0)/VLOOKUP($H68,'Material impact data'!$E$19:$AM$61,4,0)*$I68</f>
        <v>5.0731440000000006E-4</v>
      </c>
      <c r="Z68" s="180">
        <f>VLOOKUP($H68,'Material impact data'!$E$19:$AM$61,'Material impact data'!Z$15,0)/VLOOKUP($H68,'Material impact data'!$E$19:$AM$61,4,0)*$I68</f>
        <v>156.05712</v>
      </c>
      <c r="AA68" s="180">
        <f>VLOOKUP($H68,'Material impact data'!$E$19:$AM$61,'Material impact data'!AA$15,0)/VLOOKUP($H68,'Material impact data'!$E$19:$AM$61,4,0)*$I68</f>
        <v>2224.9728</v>
      </c>
      <c r="AB68" s="180">
        <f>VLOOKUP($H68,'Material impact data'!$E$19:$AM$61,'Material impact data'!AB$15,0)/VLOOKUP($H68,'Material impact data'!$E$19:$AM$61,4,0)*$I68</f>
        <v>6.6955200000000002E-6</v>
      </c>
      <c r="AC68" s="180">
        <f>VLOOKUP($H68,'Material impact data'!$E$19:$AM$61,'Material impact data'!AC$15,0)/VLOOKUP($H68,'Material impact data'!$E$19:$AM$61,4,0)*$I68</f>
        <v>0.26009519999999997</v>
      </c>
      <c r="AD68" s="180">
        <f>VLOOKUP($H68,'Material impact data'!$E$19:$AM$61,'Material impact data'!AD$15,0)/VLOOKUP($H68,'Material impact data'!$E$19:$AM$61,4,0)*$I68</f>
        <v>3.0644879999999999E-2</v>
      </c>
      <c r="AE68" s="180">
        <f>VLOOKUP($H68,'Material impact data'!$E$19:$AM$61,'Material impact data'!AE$15,0)/VLOOKUP($H68,'Material impact data'!$E$19:$AM$61,4,0)*$I68</f>
        <v>1.2953256E-2</v>
      </c>
      <c r="AF68" s="180">
        <f>VLOOKUP($H68,'Material impact data'!$E$19:$AM$61,'Material impact data'!AF$15,0)/VLOOKUP($H68,'Material impact data'!$E$19:$AM$61,4,0)*$I68</f>
        <v>2.8842239999999996E-5</v>
      </c>
      <c r="AG68" s="179">
        <f>VLOOKUP($H68,'Material impact data'!$E$19:$AM$61,'Material impact data'!AG$15,0)/VLOOKUP($H68,'Material impact data'!$E$19:$AM$61,4,0)*$I68</f>
        <v>285.84719999999999</v>
      </c>
      <c r="AH68" s="179">
        <f>VLOOKUP($H68,'Material impact data'!$E$19:$AM$61,'Material impact data'!AH$15,0)/VLOOKUP($H68,'Material impact data'!$E$19:$AM$61,4,0)*$I68</f>
        <v>2070.4607999999998</v>
      </c>
      <c r="AI68" s="179">
        <f>VLOOKUP($H68,'Material impact data'!$E$19:$AM$61,'Material impact data'!AI$15,0)/VLOOKUP($H68,'Material impact data'!$E$19:$AM$61,4,0)*$I68</f>
        <v>2.6782080000000001E-3</v>
      </c>
      <c r="AJ68" s="179">
        <f>VLOOKUP($H68,'Material impact data'!$E$19:$AM$61,'Material impact data'!AJ$15,0)/VLOOKUP($H68,'Material impact data'!$E$19:$AM$61,4,0)*$I68</f>
        <v>0.66955199999999992</v>
      </c>
      <c r="AK68" s="179">
        <f>VLOOKUP($H68,'Material impact data'!$E$19:$AM$61,'Material impact data'!AK$15,0)/VLOOKUP($H68,'Material impact data'!$E$19:$AM$61,4,0)*$I68</f>
        <v>9.7600079999999992E-2</v>
      </c>
      <c r="AL68" s="179">
        <f>VLOOKUP($H68,'Material impact data'!$E$19:$AM$61,'Material impact data'!AL$15,0)/VLOOKUP($H68,'Material impact data'!$E$19:$AM$61,4,0)*$I68</f>
        <v>4.6611119999999999E-2</v>
      </c>
      <c r="AM68" s="179">
        <f>VLOOKUP($H68,'Material impact data'!$E$19:$AM$61,'Material impact data'!AM$15,0)/VLOOKUP($H68,'Material impact data'!$E$19:$AM$61,4,0)*$I68</f>
        <v>2.137416E-5</v>
      </c>
      <c r="AO68" s="189">
        <f>M68/'Building &amp; Material inputs'!$C$18/'Building &amp; Material inputs'!$C$19</f>
        <v>0.81599999999999995</v>
      </c>
      <c r="AP68" s="189">
        <f>N68/'Building &amp; Material inputs'!$C$18/'Building &amp; Material inputs'!$C$19</f>
        <v>3.76</v>
      </c>
      <c r="AQ68" s="141">
        <f>O68/'Building &amp; Material inputs'!$C$18/'Building &amp; Material inputs'!$C$19</f>
        <v>2.5399999999999999E-4</v>
      </c>
      <c r="AR68" s="141">
        <f>P68/'Building &amp; Material inputs'!$C$18/'Building &amp; Material inputs'!$C$19</f>
        <v>0.18379999999999999</v>
      </c>
      <c r="AS68" s="188">
        <f>Q68/'Building &amp; Material inputs'!$C$18/'Building &amp; Material inputs'!$C$19</f>
        <v>4.0199999999999993E-2</v>
      </c>
      <c r="AT68" s="188">
        <f>R68/'Building &amp; Material inputs'!$C$18/'Building &amp; Material inputs'!$C$19</f>
        <v>0.20800000000000002</v>
      </c>
      <c r="AU68" s="189">
        <f>S68/'Building &amp; Material inputs'!$C$18/'Building &amp; Material inputs'!$C$19</f>
        <v>0.23600000000000002</v>
      </c>
      <c r="AV68" s="189">
        <f>T68/'Building &amp; Material inputs'!$C$18/'Building &amp; Material inputs'!$C$19</f>
        <v>3.26</v>
      </c>
      <c r="AW68" s="189">
        <f>U68/'Building &amp; Material inputs'!$C$18/'Building &amp; Material inputs'!$C$19</f>
        <v>6.9E-6</v>
      </c>
      <c r="AX68" s="189">
        <f>V68/'Building &amp; Material inputs'!$C$18/'Building &amp; Material inputs'!$C$19</f>
        <v>5.8799999999999998E-4</v>
      </c>
      <c r="AY68" s="189">
        <f>W68/'Building &amp; Material inputs'!$C$18/'Building &amp; Material inputs'!$C$19</f>
        <v>7.0400000000000004E-5</v>
      </c>
      <c r="AZ68" s="189">
        <f>X68/'Building &amp; Material inputs'!$C$18/'Building &amp; Material inputs'!$C$19</f>
        <v>4.18E-5</v>
      </c>
      <c r="BA68" s="189">
        <f>Y68/'Building &amp; Material inputs'!$C$18/'Building &amp; Material inputs'!$C$19</f>
        <v>3.9400000000000002E-8</v>
      </c>
      <c r="BB68" s="141">
        <f>Z68/'Building &amp; Material inputs'!$C$18/'Building &amp; Material inputs'!$C$19</f>
        <v>1.2119999999999999E-2</v>
      </c>
      <c r="BC68" s="141">
        <f>AA68/'Building &amp; Material inputs'!$C$18/'Building &amp; Material inputs'!$C$19</f>
        <v>0.17280000000000001</v>
      </c>
      <c r="BD68" s="141">
        <f>AB68/'Building &amp; Material inputs'!$C$18/'Building &amp; Material inputs'!$C$19</f>
        <v>5.2000000000000007E-10</v>
      </c>
      <c r="BE68" s="141">
        <f>AC68/'Building &amp; Material inputs'!$C$18/'Building &amp; Material inputs'!$C$19</f>
        <v>2.02E-5</v>
      </c>
      <c r="BF68" s="141">
        <f>AD68/'Building &amp; Material inputs'!$C$18/'Building &amp; Material inputs'!$C$19</f>
        <v>2.3800000000000001E-6</v>
      </c>
      <c r="BG68" s="141">
        <f>AE68/'Building &amp; Material inputs'!$C$18/'Building &amp; Material inputs'!$C$19</f>
        <v>1.006E-6</v>
      </c>
      <c r="BH68" s="141">
        <f>AF68/'Building &amp; Material inputs'!$C$18/'Building &amp; Material inputs'!$C$19</f>
        <v>2.2400000000000001E-9</v>
      </c>
      <c r="BI68" s="188">
        <f>AG68/'Building &amp; Material inputs'!$C$18/'Building &amp; Material inputs'!$C$19</f>
        <v>2.2200000000000001E-2</v>
      </c>
      <c r="BJ68" s="188">
        <f>AH68/'Building &amp; Material inputs'!$C$18/'Building &amp; Material inputs'!$C$19</f>
        <v>0.16079999999999997</v>
      </c>
      <c r="BK68" s="188">
        <f>AI68/'Building &amp; Material inputs'!$C$18/'Building &amp; Material inputs'!$C$19</f>
        <v>2.0800000000000001E-7</v>
      </c>
      <c r="BL68" s="188">
        <f>AJ68/'Building &amp; Material inputs'!$C$18/'Building &amp; Material inputs'!$C$19</f>
        <v>5.1999999999999997E-5</v>
      </c>
      <c r="BM68" s="188">
        <f>AK68/'Building &amp; Material inputs'!$C$18/'Building &amp; Material inputs'!$C$19</f>
        <v>7.5800000000000003E-6</v>
      </c>
      <c r="BN68" s="188">
        <f>AL68/'Building &amp; Material inputs'!$C$18/'Building &amp; Material inputs'!$C$19</f>
        <v>3.6200000000000001E-6</v>
      </c>
      <c r="BO68" s="188">
        <f>AM68/'Building &amp; Material inputs'!$C$18/'Building &amp; Material inputs'!$C$19</f>
        <v>1.6600000000000001E-9</v>
      </c>
    </row>
    <row r="69" spans="2:67" x14ac:dyDescent="0.25">
      <c r="B69" s="334"/>
      <c r="C69" s="305"/>
      <c r="D69" s="302"/>
      <c r="E69" s="299"/>
      <c r="F69" s="59" t="s">
        <v>144</v>
      </c>
      <c r="G69" s="60" t="s">
        <v>66</v>
      </c>
      <c r="H69" s="7" t="str">
        <f>'Material quantities'!G69</f>
        <v>ADH</v>
      </c>
      <c r="I69" s="38">
        <f>'Material quantities'!O69</f>
        <v>1545.12</v>
      </c>
      <c r="J69" s="62" t="s">
        <v>15</v>
      </c>
      <c r="K69" s="2"/>
      <c r="L69" s="144">
        <f>VLOOKUP($H69,'Material impact data'!$E$19:$AM$61,6,0)/VLOOKUP($H69,'Material impact data'!$E$19:$AM$61,4,0)*$I69</f>
        <v>927.07199999999989</v>
      </c>
      <c r="M69" s="138">
        <f>VLOOKUP($H69,'Material impact data'!$E$19:$AM$61,'Material impact data'!M$15,0)/VLOOKUP($H69,'Material impact data'!$E$19:$AM$61,4,0)*$I69</f>
        <v>3012.9839999999999</v>
      </c>
      <c r="N69" s="138">
        <f>VLOOKUP($H69,'Material impact data'!$E$19:$AM$61,'Material impact data'!N$15,0)/VLOOKUP($H69,'Material impact data'!$E$19:$AM$61,4,0)*$I69</f>
        <v>11356.631999999998</v>
      </c>
      <c r="O69" s="180">
        <f>VLOOKUP($H69,'Material impact data'!$E$19:$AM$61,'Material impact data'!O$15,0)/VLOOKUP($H69,'Material impact data'!$E$19:$AM$61,4,0)*$I69</f>
        <v>0</v>
      </c>
      <c r="P69" s="180">
        <f>VLOOKUP($H69,'Material impact data'!$E$19:$AM$61,'Material impact data'!P$15,0)/VLOOKUP($H69,'Material impact data'!$E$19:$AM$61,4,0)*$I69</f>
        <v>2085.9119999999998</v>
      </c>
      <c r="Q69" s="179">
        <f>VLOOKUP($H69,'Material impact data'!$E$19:$AM$61,'Material impact data'!Q$15,0)/VLOOKUP($H69,'Material impact data'!$E$19:$AM$61,4,0)*$I69</f>
        <v>0</v>
      </c>
      <c r="R69" s="179">
        <f>VLOOKUP($H69,'Material impact data'!$E$19:$AM$61,'Material impact data'!R$15,0)/VLOOKUP($H69,'Material impact data'!$E$19:$AM$61,4,0)*$I69</f>
        <v>0.83436479999999991</v>
      </c>
      <c r="S69" s="138">
        <f>VLOOKUP($H69,'Material impact data'!$E$19:$AM$61,'Material impact data'!S$15,0)/VLOOKUP($H69,'Material impact data'!$E$19:$AM$61,4,0)*$I69</f>
        <v>794.19168000000002</v>
      </c>
      <c r="T69" s="138">
        <f>VLOOKUP($H69,'Material impact data'!$E$19:$AM$61,'Material impact data'!T$15,0)/VLOOKUP($H69,'Material impact data'!$E$19:$AM$61,4,0)*$I69</f>
        <v>10383.206399999999</v>
      </c>
      <c r="U69" s="138">
        <f>VLOOKUP($H69,'Material impact data'!$E$19:$AM$61,'Material impact data'!U$15,0)/VLOOKUP($H69,'Material impact data'!$E$19:$AM$61,4,0)*$I69</f>
        <v>8.9307935999999994E-4</v>
      </c>
      <c r="V69" s="138">
        <f>VLOOKUP($H69,'Material impact data'!$E$19:$AM$61,'Material impact data'!V$15,0)/VLOOKUP($H69,'Material impact data'!$E$19:$AM$61,4,0)*$I69</f>
        <v>2.394936</v>
      </c>
      <c r="W69" s="138">
        <f>VLOOKUP($H69,'Material impact data'!$E$19:$AM$61,'Material impact data'!W$15,0)/VLOOKUP($H69,'Material impact data'!$E$19:$AM$61,4,0)*$I69</f>
        <v>0.74320271999999987</v>
      </c>
      <c r="X69" s="138">
        <f>VLOOKUP($H69,'Material impact data'!$E$19:$AM$61,'Material impact data'!X$15,0)/VLOOKUP($H69,'Material impact data'!$E$19:$AM$61,4,0)*$I69</f>
        <v>0.12917203199999999</v>
      </c>
      <c r="Y69" s="138">
        <f>VLOOKUP($H69,'Material impact data'!$E$19:$AM$61,'Material impact data'!Y$15,0)/VLOOKUP($H69,'Material impact data'!$E$19:$AM$61,4,0)*$I69</f>
        <v>4.9289327999999999E-5</v>
      </c>
      <c r="Z69" s="180">
        <f>VLOOKUP($H69,'Material impact data'!$E$19:$AM$61,'Material impact data'!Z$15,0)/VLOOKUP($H69,'Material impact data'!$E$19:$AM$61,4,0)*$I69</f>
        <v>38.318975999999999</v>
      </c>
      <c r="AA69" s="180">
        <f>VLOOKUP($H69,'Material impact data'!$E$19:$AM$61,'Material impact data'!AA$15,0)/VLOOKUP($H69,'Material impact data'!$E$19:$AM$61,4,0)*$I69</f>
        <v>4244.1356159999996</v>
      </c>
      <c r="AB69" s="180">
        <f>VLOOKUP($H69,'Material impact data'!$E$19:$AM$61,'Material impact data'!AB$15,0)/VLOOKUP($H69,'Material impact data'!$E$19:$AM$61,4,0)*$I69</f>
        <v>0.14276908799999999</v>
      </c>
      <c r="AC69" s="180">
        <f>VLOOKUP($H69,'Material impact data'!$E$19:$AM$61,'Material impact data'!AC$15,0)/VLOOKUP($H69,'Material impact data'!$E$19:$AM$61,4,0)*$I69</f>
        <v>2.4721919999999997</v>
      </c>
      <c r="AD69" s="180">
        <f>VLOOKUP($H69,'Material impact data'!$E$19:$AM$61,'Material impact data'!AD$15,0)/VLOOKUP($H69,'Material impact data'!$E$19:$AM$61,4,0)*$I69</f>
        <v>0.54017395199999996</v>
      </c>
      <c r="AE69" s="180">
        <f>VLOOKUP($H69,'Material impact data'!$E$19:$AM$61,'Material impact data'!AE$15,0)/VLOOKUP($H69,'Material impact data'!$E$19:$AM$61,4,0)*$I69</f>
        <v>0.14276908799999999</v>
      </c>
      <c r="AF69" s="180">
        <f>VLOOKUP($H69,'Material impact data'!$E$19:$AM$61,'Material impact data'!AF$15,0)/VLOOKUP($H69,'Material impact data'!$E$19:$AM$61,4,0)*$I69</f>
        <v>5.0185497599999997E-2</v>
      </c>
      <c r="AG69" s="179">
        <f>VLOOKUP($H69,'Material impact data'!$E$19:$AM$61,'Material impact data'!AG$15,0)/VLOOKUP($H69,'Material impact data'!$E$19:$AM$61,4,0)*$I69</f>
        <v>4.6044575999999995E-3</v>
      </c>
      <c r="AH69" s="179">
        <f>VLOOKUP($H69,'Material impact data'!$E$19:$AM$61,'Material impact data'!AH$15,0)/VLOOKUP($H69,'Material impact data'!$E$19:$AM$61,4,0)*$I69</f>
        <v>6.4276991999999991E-2</v>
      </c>
      <c r="AI69" s="179">
        <f>VLOOKUP($H69,'Material impact data'!$E$19:$AM$61,'Material impact data'!AI$15,0)/VLOOKUP($H69,'Material impact data'!$E$19:$AM$61,4,0)*$I69</f>
        <v>1.7058124799999998E-7</v>
      </c>
      <c r="AJ69" s="179">
        <f>VLOOKUP($H69,'Material impact data'!$E$19:$AM$61,'Material impact data'!AJ$15,0)/VLOOKUP($H69,'Material impact data'!$E$19:$AM$61,4,0)*$I69</f>
        <v>2.0271974399999997E-5</v>
      </c>
      <c r="AK69" s="179">
        <f>VLOOKUP($H69,'Material impact data'!$E$19:$AM$61,'Material impact data'!AK$15,0)/VLOOKUP($H69,'Material impact data'!$E$19:$AM$61,4,0)*$I69</f>
        <v>8.2818431999999987E-5</v>
      </c>
      <c r="AL69" s="179">
        <f>VLOOKUP($H69,'Material impact data'!$E$19:$AM$61,'Material impact data'!AL$15,0)/VLOOKUP($H69,'Material impact data'!$E$19:$AM$61,4,0)*$I69</f>
        <v>3.9122438399999994E-6</v>
      </c>
      <c r="AM69" s="179">
        <f>VLOOKUP($H69,'Material impact data'!$E$19:$AM$61,'Material impact data'!AM$15,0)/VLOOKUP($H69,'Material impact data'!$E$19:$AM$61,4,0)*$I69</f>
        <v>3.0407961599999998E-10</v>
      </c>
      <c r="AO69" s="189">
        <f>M69/'Building &amp; Material inputs'!$C$18/'Building &amp; Material inputs'!$C$19</f>
        <v>0.23400000000000001</v>
      </c>
      <c r="AP69" s="189">
        <f>N69/'Building &amp; Material inputs'!$C$18/'Building &amp; Material inputs'!$C$19</f>
        <v>0.8819999999999999</v>
      </c>
      <c r="AQ69" s="141">
        <f>O69/'Building &amp; Material inputs'!$C$18/'Building &amp; Material inputs'!$C$19</f>
        <v>0</v>
      </c>
      <c r="AR69" s="141">
        <f>P69/'Building &amp; Material inputs'!$C$18/'Building &amp; Material inputs'!$C$19</f>
        <v>0.16200000000000001</v>
      </c>
      <c r="AS69" s="188">
        <f>Q69/'Building &amp; Material inputs'!$C$18/'Building &amp; Material inputs'!$C$19</f>
        <v>0</v>
      </c>
      <c r="AT69" s="188">
        <f>R69/'Building &amp; Material inputs'!$C$18/'Building &amp; Material inputs'!$C$19</f>
        <v>6.4800000000000003E-5</v>
      </c>
      <c r="AU69" s="189">
        <f>S69/'Building &amp; Material inputs'!$C$18/'Building &amp; Material inputs'!$C$19</f>
        <v>6.1679999999999999E-2</v>
      </c>
      <c r="AV69" s="189">
        <f>T69/'Building &amp; Material inputs'!$C$18/'Building &amp; Material inputs'!$C$19</f>
        <v>0.80640000000000001</v>
      </c>
      <c r="AW69" s="189">
        <f>U69/'Building &amp; Material inputs'!$C$18/'Building &amp; Material inputs'!$C$19</f>
        <v>6.9360000000000007E-8</v>
      </c>
      <c r="AX69" s="189">
        <f>V69/'Building &amp; Material inputs'!$C$18/'Building &amp; Material inputs'!$C$19</f>
        <v>1.8600000000000002E-4</v>
      </c>
      <c r="AY69" s="189">
        <f>W69/'Building &amp; Material inputs'!$C$18/'Building &amp; Material inputs'!$C$19</f>
        <v>5.7719999999999996E-5</v>
      </c>
      <c r="AZ69" s="189">
        <f>X69/'Building &amp; Material inputs'!$C$18/'Building &amp; Material inputs'!$C$19</f>
        <v>1.0032000000000002E-5</v>
      </c>
      <c r="BA69" s="189">
        <f>Y69/'Building &amp; Material inputs'!$C$18/'Building &amp; Material inputs'!$C$19</f>
        <v>3.8280000000000004E-9</v>
      </c>
      <c r="BB69" s="141">
        <f>Z69/'Building &amp; Material inputs'!$C$18/'Building &amp; Material inputs'!$C$19</f>
        <v>2.9760000000000003E-3</v>
      </c>
      <c r="BC69" s="141">
        <f>AA69/'Building &amp; Material inputs'!$C$18/'Building &amp; Material inputs'!$C$19</f>
        <v>0.32961599999999996</v>
      </c>
      <c r="BD69" s="141">
        <f>AB69/'Building &amp; Material inputs'!$C$18/'Building &amp; Material inputs'!$C$19</f>
        <v>1.1088000000000001E-5</v>
      </c>
      <c r="BE69" s="141">
        <f>AC69/'Building &amp; Material inputs'!$C$18/'Building &amp; Material inputs'!$C$19</f>
        <v>1.9199999999999998E-4</v>
      </c>
      <c r="BF69" s="141">
        <f>AD69/'Building &amp; Material inputs'!$C$18/'Building &amp; Material inputs'!$C$19</f>
        <v>4.1951999999999994E-5</v>
      </c>
      <c r="BG69" s="141">
        <f>AE69/'Building &amp; Material inputs'!$C$18/'Building &amp; Material inputs'!$C$19</f>
        <v>1.1088000000000001E-5</v>
      </c>
      <c r="BH69" s="141">
        <f>AF69/'Building &amp; Material inputs'!$C$18/'Building &amp; Material inputs'!$C$19</f>
        <v>3.8975999999999997E-6</v>
      </c>
      <c r="BI69" s="188">
        <f>AG69/'Building &amp; Material inputs'!$C$18/'Building &amp; Material inputs'!$C$19</f>
        <v>3.5759999999999997E-7</v>
      </c>
      <c r="BJ69" s="188">
        <f>AH69/'Building &amp; Material inputs'!$C$18/'Building &amp; Material inputs'!$C$19</f>
        <v>4.9919999999999998E-6</v>
      </c>
      <c r="BK69" s="188">
        <f>AI69/'Building &amp; Material inputs'!$C$18/'Building &amp; Material inputs'!$C$19</f>
        <v>1.3248E-11</v>
      </c>
      <c r="BL69" s="188">
        <f>AJ69/'Building &amp; Material inputs'!$C$18/'Building &amp; Material inputs'!$C$19</f>
        <v>1.5743999999999999E-9</v>
      </c>
      <c r="BM69" s="188">
        <f>AK69/'Building &amp; Material inputs'!$C$18/'Building &amp; Material inputs'!$C$19</f>
        <v>6.4319999999999993E-9</v>
      </c>
      <c r="BN69" s="188">
        <f>AL69/'Building &amp; Material inputs'!$C$18/'Building &amp; Material inputs'!$C$19</f>
        <v>3.0383999999999996E-10</v>
      </c>
      <c r="BO69" s="188">
        <f>AM69/'Building &amp; Material inputs'!$C$18/'Building &amp; Material inputs'!$C$19</f>
        <v>2.3615999999999999E-14</v>
      </c>
    </row>
    <row r="70" spans="2:67" x14ac:dyDescent="0.25">
      <c r="B70" s="334"/>
      <c r="C70" s="305"/>
      <c r="D70" s="302"/>
      <c r="E70" s="299"/>
      <c r="F70" s="59" t="s">
        <v>145</v>
      </c>
      <c r="G70" s="60" t="s">
        <v>324</v>
      </c>
      <c r="H70" s="7" t="str">
        <f>'Material quantities'!G70</f>
        <v>MOR</v>
      </c>
      <c r="I70" s="38">
        <f>'Material quantities'!O70</f>
        <v>12360.96</v>
      </c>
      <c r="J70" s="62" t="s">
        <v>15</v>
      </c>
      <c r="K70" s="2"/>
      <c r="L70" s="144">
        <f>VLOOKUP($H70,'Material impact data'!$E$19:$AM$61,6,0)/VLOOKUP($H70,'Material impact data'!$E$19:$AM$61,4,0)*$I70</f>
        <v>3090.24</v>
      </c>
      <c r="M70" s="138">
        <f>VLOOKUP($H70,'Material impact data'!$E$19:$AM$61,'Material impact data'!M$15,0)/VLOOKUP($H70,'Material impact data'!$E$19:$AM$61,4,0)*$I70</f>
        <v>4697.1647999999996</v>
      </c>
      <c r="N70" s="138">
        <f>VLOOKUP($H70,'Material impact data'!$E$19:$AM$61,'Material impact data'!N$15,0)/VLOOKUP($H70,'Material impact data'!$E$19:$AM$61,4,0)*$I70</f>
        <v>64771.430399999997</v>
      </c>
      <c r="O70" s="180">
        <f>VLOOKUP($H70,'Material impact data'!$E$19:$AM$61,'Material impact data'!O$15,0)/VLOOKUP($H70,'Material impact data'!$E$19:$AM$61,4,0)*$I70</f>
        <v>0</v>
      </c>
      <c r="P70" s="180">
        <f>VLOOKUP($H70,'Material impact data'!$E$19:$AM$61,'Material impact data'!P$15,0)/VLOOKUP($H70,'Material impact data'!$E$19:$AM$61,4,0)*$I70</f>
        <v>0</v>
      </c>
      <c r="Q70" s="179">
        <f>VLOOKUP($H70,'Material impact data'!$E$19:$AM$61,'Material impact data'!Q$15,0)/VLOOKUP($H70,'Material impact data'!$E$19:$AM$61,4,0)*$I70</f>
        <v>0</v>
      </c>
      <c r="R70" s="179">
        <f>VLOOKUP($H70,'Material impact data'!$E$19:$AM$61,'Material impact data'!R$15,0)/VLOOKUP($H70,'Material impact data'!$E$19:$AM$61,4,0)*$I70</f>
        <v>0</v>
      </c>
      <c r="S70" s="138">
        <f>VLOOKUP($H70,'Material impact data'!$E$19:$AM$61,'Material impact data'!S$15,0)/VLOOKUP($H70,'Material impact data'!$E$19:$AM$61,4,0)*$I70</f>
        <v>7107.5519999999988</v>
      </c>
      <c r="T70" s="138">
        <f>VLOOKUP($H70,'Material impact data'!$E$19:$AM$61,'Material impact data'!T$15,0)/VLOOKUP($H70,'Material impact data'!$E$19:$AM$61,4,0)*$I70</f>
        <v>64647.820800000001</v>
      </c>
      <c r="U70" s="138">
        <f>VLOOKUP($H70,'Material impact data'!$E$19:$AM$61,'Material impact data'!U$15,0)/VLOOKUP($H70,'Material impact data'!$E$19:$AM$61,4,0)*$I70</f>
        <v>0.10284318719999999</v>
      </c>
      <c r="V70" s="138">
        <f>VLOOKUP($H70,'Material impact data'!$E$19:$AM$61,'Material impact data'!V$15,0)/VLOOKUP($H70,'Material impact data'!$E$19:$AM$61,4,0)*$I70</f>
        <v>26.328844799999999</v>
      </c>
      <c r="W70" s="138">
        <f>VLOOKUP($H70,'Material impact data'!$E$19:$AM$61,'Material impact data'!W$15,0)/VLOOKUP($H70,'Material impact data'!$E$19:$AM$61,4,0)*$I70</f>
        <v>1.2979007999999999</v>
      </c>
      <c r="X70" s="138">
        <f>VLOOKUP($H70,'Material impact data'!$E$19:$AM$61,'Material impact data'!X$15,0)/VLOOKUP($H70,'Material impact data'!$E$19:$AM$61,4,0)*$I70</f>
        <v>19.283097599999998</v>
      </c>
      <c r="Y70" s="138">
        <f>VLOOKUP($H70,'Material impact data'!$E$19:$AM$61,'Material impact data'!Y$15,0)/VLOOKUP($H70,'Material impact data'!$E$19:$AM$61,4,0)*$I70</f>
        <v>5.3770175999999991E-4</v>
      </c>
      <c r="Z70" s="180">
        <f>VLOOKUP($H70,'Material impact data'!$E$19:$AM$61,'Material impact data'!Z$15,0)/VLOOKUP($H70,'Material impact data'!$E$19:$AM$61,4,0)*$I70</f>
        <v>406.14406271999997</v>
      </c>
      <c r="AA70" s="180">
        <f>VLOOKUP($H70,'Material impact data'!$E$19:$AM$61,'Material impact data'!AA$15,0)/VLOOKUP($H70,'Material impact data'!$E$19:$AM$61,4,0)*$I70</f>
        <v>4467.2509439999994</v>
      </c>
      <c r="AB70" s="180">
        <f>VLOOKUP($H70,'Material impact data'!$E$19:$AM$61,'Material impact data'!AB$15,0)/VLOOKUP($H70,'Material impact data'!$E$19:$AM$61,4,0)*$I70</f>
        <v>2.4351091200000001E-2</v>
      </c>
      <c r="AC70" s="180">
        <f>VLOOKUP($H70,'Material impact data'!$E$19:$AM$61,'Material impact data'!AC$15,0)/VLOOKUP($H70,'Material impact data'!$E$19:$AM$61,4,0)*$I70</f>
        <v>2.8253446271999998</v>
      </c>
      <c r="AD70" s="180">
        <f>VLOOKUP($H70,'Material impact data'!$E$19:$AM$61,'Material impact data'!AD$15,0)/VLOOKUP($H70,'Material impact data'!$E$19:$AM$61,4,0)*$I70</f>
        <v>0.55498238207999995</v>
      </c>
      <c r="AE70" s="180">
        <f>VLOOKUP($H70,'Material impact data'!$E$19:$AM$61,'Material impact data'!AE$15,0)/VLOOKUP($H70,'Material impact data'!$E$19:$AM$61,4,0)*$I70</f>
        <v>1.5135748300799998</v>
      </c>
      <c r="AF70" s="180">
        <f>VLOOKUP($H70,'Material impact data'!$E$19:$AM$61,'Material impact data'!AF$15,0)/VLOOKUP($H70,'Material impact data'!$E$19:$AM$61,4,0)*$I70</f>
        <v>0.50457438719999992</v>
      </c>
      <c r="AG70" s="179">
        <f>VLOOKUP($H70,'Material impact data'!$E$19:$AM$61,'Material impact data'!AG$15,0)/VLOOKUP($H70,'Material impact data'!$E$19:$AM$61,4,0)*$I70</f>
        <v>3.6835660799999996E-2</v>
      </c>
      <c r="AH70" s="179">
        <f>VLOOKUP($H70,'Material impact data'!$E$19:$AM$61,'Material impact data'!AH$15,0)/VLOOKUP($H70,'Material impact data'!$E$19:$AM$61,4,0)*$I70</f>
        <v>0.50457438719999992</v>
      </c>
      <c r="AI70" s="179">
        <f>VLOOKUP($H70,'Material impact data'!$E$19:$AM$61,'Material impact data'!AI$15,0)/VLOOKUP($H70,'Material impact data'!$E$19:$AM$61,4,0)*$I70</f>
        <v>1.362177792E-6</v>
      </c>
      <c r="AJ70" s="179">
        <f>VLOOKUP($H70,'Material impact data'!$E$19:$AM$61,'Material impact data'!AJ$15,0)/VLOOKUP($H70,'Material impact data'!$E$19:$AM$61,4,0)*$I70</f>
        <v>0.16195329791999999</v>
      </c>
      <c r="AK70" s="179">
        <f>VLOOKUP($H70,'Material impact data'!$E$19:$AM$61,'Material impact data'!AK$15,0)/VLOOKUP($H70,'Material impact data'!$E$19:$AM$61,4,0)*$I70</f>
        <v>6.6094053119999995E-4</v>
      </c>
      <c r="AL70" s="179">
        <f>VLOOKUP($H70,'Material impact data'!$E$19:$AM$61,'Material impact data'!AL$15,0)/VLOOKUP($H70,'Material impact data'!$E$19:$AM$61,4,0)*$I70</f>
        <v>3.1322672639999996E-5</v>
      </c>
      <c r="AM70" s="179">
        <f>VLOOKUP($H70,'Material impact data'!$E$19:$AM$61,'Material impact data'!AM$15,0)/VLOOKUP($H70,'Material impact data'!$E$19:$AM$61,4,0)*$I70</f>
        <v>2.4314008319999998E-9</v>
      </c>
      <c r="AO70" s="189">
        <f>M70/'Building &amp; Material inputs'!$C$18/'Building &amp; Material inputs'!$C$19</f>
        <v>0.36479999999999996</v>
      </c>
      <c r="AP70" s="189">
        <f>N70/'Building &amp; Material inputs'!$C$18/'Building &amp; Material inputs'!$C$19</f>
        <v>5.0304000000000002</v>
      </c>
      <c r="AQ70" s="141">
        <f>O70/'Building &amp; Material inputs'!$C$18/'Building &amp; Material inputs'!$C$19</f>
        <v>0</v>
      </c>
      <c r="AR70" s="141">
        <f>P70/'Building &amp; Material inputs'!$C$18/'Building &amp; Material inputs'!$C$19</f>
        <v>0</v>
      </c>
      <c r="AS70" s="188">
        <f>Q70/'Building &amp; Material inputs'!$C$18/'Building &amp; Material inputs'!$C$19</f>
        <v>0</v>
      </c>
      <c r="AT70" s="188">
        <f>R70/'Building &amp; Material inputs'!$C$18/'Building &amp; Material inputs'!$C$19</f>
        <v>0</v>
      </c>
      <c r="AU70" s="189">
        <f>S70/'Building &amp; Material inputs'!$C$18/'Building &amp; Material inputs'!$C$19</f>
        <v>0.55199999999999994</v>
      </c>
      <c r="AV70" s="189">
        <f>T70/'Building &amp; Material inputs'!$C$18/'Building &amp; Material inputs'!$C$19</f>
        <v>5.0208000000000004</v>
      </c>
      <c r="AW70" s="189">
        <f>U70/'Building &amp; Material inputs'!$C$18/'Building &amp; Material inputs'!$C$19</f>
        <v>7.9871999999999987E-6</v>
      </c>
      <c r="AX70" s="189">
        <f>V70/'Building &amp; Material inputs'!$C$18/'Building &amp; Material inputs'!$C$19</f>
        <v>2.0447999999999998E-3</v>
      </c>
      <c r="AY70" s="189">
        <f>W70/'Building &amp; Material inputs'!$C$18/'Building &amp; Material inputs'!$C$19</f>
        <v>1.0080000000000001E-4</v>
      </c>
      <c r="AZ70" s="189">
        <f>X70/'Building &amp; Material inputs'!$C$18/'Building &amp; Material inputs'!$C$19</f>
        <v>1.4976E-3</v>
      </c>
      <c r="BA70" s="189">
        <f>Y70/'Building &amp; Material inputs'!$C$18/'Building &amp; Material inputs'!$C$19</f>
        <v>4.1759999999999998E-8</v>
      </c>
      <c r="BB70" s="141">
        <f>Z70/'Building &amp; Material inputs'!$C$18/'Building &amp; Material inputs'!$C$19</f>
        <v>3.1542719999999996E-2</v>
      </c>
      <c r="BC70" s="141">
        <f>AA70/'Building &amp; Material inputs'!$C$18/'Building &amp; Material inputs'!$C$19</f>
        <v>0.34694399999999992</v>
      </c>
      <c r="BD70" s="141">
        <f>AB70/'Building &amp; Material inputs'!$C$18/'Building &amp; Material inputs'!$C$19</f>
        <v>1.8912000000000004E-6</v>
      </c>
      <c r="BE70" s="141">
        <f>AC70/'Building &amp; Material inputs'!$C$18/'Building &amp; Material inputs'!$C$19</f>
        <v>2.194272E-4</v>
      </c>
      <c r="BF70" s="141">
        <f>AD70/'Building &amp; Material inputs'!$C$18/'Building &amp; Material inputs'!$C$19</f>
        <v>4.3102080000000001E-5</v>
      </c>
      <c r="BG70" s="141">
        <f>AE70/'Building &amp; Material inputs'!$C$18/'Building &amp; Material inputs'!$C$19</f>
        <v>1.1755007999999999E-4</v>
      </c>
      <c r="BH70" s="141">
        <f>AF70/'Building &amp; Material inputs'!$C$18/'Building &amp; Material inputs'!$C$19</f>
        <v>3.9187199999999996E-5</v>
      </c>
      <c r="BI70" s="188">
        <f>AG70/'Building &amp; Material inputs'!$C$18/'Building &amp; Material inputs'!$C$19</f>
        <v>2.8607999999999998E-6</v>
      </c>
      <c r="BJ70" s="188">
        <f>AH70/'Building &amp; Material inputs'!$C$18/'Building &amp; Material inputs'!$C$19</f>
        <v>3.9187199999999996E-5</v>
      </c>
      <c r="BK70" s="188">
        <f>AI70/'Building &amp; Material inputs'!$C$18/'Building &amp; Material inputs'!$C$19</f>
        <v>1.0579200000000001E-10</v>
      </c>
      <c r="BL70" s="188">
        <f>AJ70/'Building &amp; Material inputs'!$C$18/'Building &amp; Material inputs'!$C$19</f>
        <v>1.257792E-5</v>
      </c>
      <c r="BM70" s="188">
        <f>AK70/'Building &amp; Material inputs'!$C$18/'Building &amp; Material inputs'!$C$19</f>
        <v>5.1331199999999996E-8</v>
      </c>
      <c r="BN70" s="188">
        <f>AL70/'Building &amp; Material inputs'!$C$18/'Building &amp; Material inputs'!$C$19</f>
        <v>2.4326399999999996E-9</v>
      </c>
      <c r="BO70" s="188">
        <f>AM70/'Building &amp; Material inputs'!$C$18/'Building &amp; Material inputs'!$C$19</f>
        <v>1.8883199999999998E-13</v>
      </c>
    </row>
    <row r="71" spans="2:67" x14ac:dyDescent="0.25">
      <c r="B71" s="334"/>
      <c r="C71" s="305"/>
      <c r="D71" s="302"/>
      <c r="E71" s="299"/>
      <c r="F71" s="59" t="s">
        <v>146</v>
      </c>
      <c r="G71" s="60" t="s">
        <v>67</v>
      </c>
      <c r="H71" s="7" t="str">
        <f>'Material quantities'!G71</f>
        <v>POLY</v>
      </c>
      <c r="I71" s="38">
        <f>'Material quantities'!O71</f>
        <v>1.2875999999999999</v>
      </c>
      <c r="J71" s="62" t="s">
        <v>14</v>
      </c>
      <c r="K71" s="2"/>
      <c r="L71" s="144">
        <f>VLOOKUP($H71,'Material impact data'!$E$19:$AM$61,6,0)/VLOOKUP($H71,'Material impact data'!$E$19:$AM$61,4,0)*$I71</f>
        <v>2082.7573799999996</v>
      </c>
      <c r="M71" s="138">
        <f>VLOOKUP($H71,'Material impact data'!$E$19:$AM$61,'Material impact data'!M$15,0)/VLOOKUP($H71,'Material impact data'!$E$19:$AM$61,4,0)*$I71</f>
        <v>4340.8034735999991</v>
      </c>
      <c r="N71" s="138">
        <f>VLOOKUP($H71,'Material impact data'!$E$19:$AM$61,'Material impact data'!N$15,0)/VLOOKUP($H71,'Material impact data'!$E$19:$AM$61,4,0)*$I71</f>
        <v>107268.02459999999</v>
      </c>
      <c r="O71" s="180">
        <f>VLOOKUP($H71,'Material impact data'!$E$19:$AM$61,'Material impact data'!O$15,0)/VLOOKUP($H71,'Material impact data'!$E$19:$AM$61,4,0)*$I71</f>
        <v>21.309136199999994</v>
      </c>
      <c r="P71" s="180">
        <f>VLOOKUP($H71,'Material impact data'!$E$19:$AM$61,'Material impact data'!P$15,0)/VLOOKUP($H71,'Material impact data'!$E$19:$AM$61,4,0)*$I71</f>
        <v>1480.8043799999998</v>
      </c>
      <c r="Q71" s="179">
        <f>VLOOKUP($H71,'Material impact data'!$E$19:$AM$61,'Material impact data'!Q$15,0)/VLOOKUP($H71,'Material impact data'!$E$19:$AM$61,4,0)*$I71</f>
        <v>6.8983813799999988E-2</v>
      </c>
      <c r="R71" s="179">
        <f>VLOOKUP($H71,'Material impact data'!$E$19:$AM$61,'Material impact data'!R$15,0)/VLOOKUP($H71,'Material impact data'!$E$19:$AM$61,4,0)*$I71</f>
        <v>0.93423105599999989</v>
      </c>
      <c r="S71" s="138">
        <f>VLOOKUP($H71,'Material impact data'!$E$19:$AM$61,'Material impact data'!S$15,0)/VLOOKUP($H71,'Material impact data'!$E$19:$AM$61,4,0)*$I71</f>
        <v>3339.6352439999996</v>
      </c>
      <c r="T71" s="138">
        <f>VLOOKUP($H71,'Material impact data'!$E$19:$AM$61,'Material impact data'!T$15,0)/VLOOKUP($H71,'Material impact data'!$E$19:$AM$61,4,0)*$I71</f>
        <v>107219.86835999999</v>
      </c>
      <c r="U71" s="138">
        <f>VLOOKUP($H71,'Material impact data'!$E$19:$AM$61,'Material impact data'!U$15,0)/VLOOKUP($H71,'Material impact data'!$E$19:$AM$61,4,0)*$I71</f>
        <v>1.6987113660000001E-2</v>
      </c>
      <c r="V71" s="138">
        <f>VLOOKUP($H71,'Material impact data'!$E$19:$AM$61,'Material impact data'!V$15,0)*VLOOKUP($H71,'Material impact data'!$E$19:$AM$61,4,0)*$I71</f>
        <v>1.4614907242780747E-2</v>
      </c>
      <c r="W71" s="138">
        <f>VLOOKUP($H71,'Material impact data'!$E$19:$AM$61,'Material impact data'!W$15,0)/VLOOKUP($H71,'Material impact data'!$E$19:$AM$61,4,0)*$I71</f>
        <v>1.2911891850000001</v>
      </c>
      <c r="X71" s="138">
        <f>VLOOKUP($H71,'Material impact data'!$E$19:$AM$61,'Material impact data'!X$15,0)/VLOOKUP($H71,'Material impact data'!$E$19:$AM$61,4,0)*$I71</f>
        <v>15.205332779999999</v>
      </c>
      <c r="Y71" s="138">
        <f>VLOOKUP($H71,'Material impact data'!$E$19:$AM$61,'Material impact data'!Y$15,0)/VLOOKUP($H71,'Material impact data'!$E$19:$AM$61,4,0)*$I71</f>
        <v>5.6807267734800002E-3</v>
      </c>
      <c r="Z71" s="180">
        <f>VLOOKUP($H71,'Material impact data'!$E$19:$AM$61,'Material impact data'!Z$15,0)/VLOOKUP($H71,'Material impact data'!$E$19:$AM$61,4,0)*$I71</f>
        <v>100.40576039999999</v>
      </c>
      <c r="AA71" s="180">
        <f>VLOOKUP($H71,'Material impact data'!$E$19:$AM$61,'Material impact data'!AA$15,0)/VLOOKUP($H71,'Material impact data'!$E$19:$AM$61,4,0)*$I71</f>
        <v>1480.8043799999998</v>
      </c>
      <c r="AB71" s="180">
        <f>VLOOKUP($H71,'Material impact data'!$E$19:$AM$61,'Material impact data'!AB$15,0)/VLOOKUP($H71,'Material impact data'!$E$19:$AM$61,4,0)*$I71</f>
        <v>3.5515226999999997E-4</v>
      </c>
      <c r="AC71" s="180">
        <f>VLOOKUP($H71,'Material impact data'!$E$19:$AM$61,'Material impact data'!AC$15,0)/VLOOKUP($H71,'Material impact data'!$E$19:$AM$61,4,0)*$I71</f>
        <v>0.40571632199999996</v>
      </c>
      <c r="AD71" s="180">
        <f>VLOOKUP($H71,'Material impact data'!$E$19:$AM$61,'Material impact data'!AD$15,0)/VLOOKUP($H71,'Material impact data'!$E$19:$AM$61,4,0)*$I71</f>
        <v>6.7298345399999984E-3</v>
      </c>
      <c r="AE71" s="180">
        <f>VLOOKUP($H71,'Material impact data'!$E$19:$AM$61,'Material impact data'!AE$15,0)/VLOOKUP($H71,'Material impact data'!$E$19:$AM$61,4,0)*$I71</f>
        <v>0.40932803999999995</v>
      </c>
      <c r="AF71" s="180">
        <f>VLOOKUP($H71,'Material impact data'!$E$19:$AM$61,'Material impact data'!AF$15,0)/VLOOKUP($H71,'Material impact data'!$E$19:$AM$61,4,0)*$I71</f>
        <v>2.3114995199999998E-5</v>
      </c>
      <c r="AG71" s="179">
        <f>VLOOKUP($H71,'Material impact data'!$E$19:$AM$61,'Material impact data'!AG$15,0)/VLOOKUP($H71,'Material impact data'!$E$19:$AM$61,4,0)*$I71</f>
        <v>4.2377491199999999E-2</v>
      </c>
      <c r="AH71" s="179">
        <f>VLOOKUP($H71,'Material impact data'!$E$19:$AM$61,'Material impact data'!AH$15,0)/VLOOKUP($H71,'Material impact data'!$E$19:$AM$61,4,0)*$I71</f>
        <v>0.93061933799999996</v>
      </c>
      <c r="AI71" s="179">
        <f>VLOOKUP($H71,'Material impact data'!$E$19:$AM$61,'Material impact data'!AI$15,0)/VLOOKUP($H71,'Material impact data'!$E$19:$AM$61,4,0)*$I71</f>
        <v>2.6847103799999997E-7</v>
      </c>
      <c r="AJ71" s="179">
        <f>VLOOKUP($H71,'Material impact data'!$E$19:$AM$61,'Material impact data'!AJ$15,0)/VLOOKUP($H71,'Material impact data'!$E$19:$AM$61,4,0)*$I71</f>
        <v>6.1038034199999993E-4</v>
      </c>
      <c r="AK71" s="179">
        <f>VLOOKUP($H71,'Material impact data'!$E$19:$AM$61,'Material impact data'!AK$15,0)/VLOOKUP($H71,'Material impact data'!$E$19:$AM$61,4,0)*$I71</f>
        <v>1.043786502E-4</v>
      </c>
      <c r="AL71" s="179">
        <f>VLOOKUP($H71,'Material impact data'!$E$19:$AM$61,'Material impact data'!AL$15,0)/VLOOKUP($H71,'Material impact data'!$E$19:$AM$61,4,0)*$I71</f>
        <v>2.0827573799999999E-4</v>
      </c>
      <c r="AM71" s="179">
        <f>VLOOKUP($H71,'Material impact data'!$E$19:$AM$61,'Material impact data'!AM$15,0)/VLOOKUP($H71,'Material impact data'!$E$19:$AM$61,4,0)*$I71</f>
        <v>1.2039059999999998E-9</v>
      </c>
      <c r="AO71" s="189">
        <f>M71/'Building &amp; Material inputs'!$C$18/'Building &amp; Material inputs'!$C$19</f>
        <v>0.33712359999999997</v>
      </c>
      <c r="AP71" s="189">
        <f>N71/'Building &amp; Material inputs'!$C$18/'Building &amp; Material inputs'!$C$19</f>
        <v>8.3308499999999999</v>
      </c>
      <c r="AQ71" s="141">
        <f>O71/'Building &amp; Material inputs'!$C$18/'Building &amp; Material inputs'!$C$19</f>
        <v>1.6549499999999997E-3</v>
      </c>
      <c r="AR71" s="141">
        <f>P71/'Building &amp; Material inputs'!$C$18/'Building &amp; Material inputs'!$C$19</f>
        <v>0.11500499999999998</v>
      </c>
      <c r="AS71" s="188">
        <f>Q71/'Building &amp; Material inputs'!$C$18/'Building &amp; Material inputs'!$C$19</f>
        <v>5.3575499999999992E-6</v>
      </c>
      <c r="AT71" s="188">
        <f>R71/'Building &amp; Material inputs'!$C$18/'Building &amp; Material inputs'!$C$19</f>
        <v>7.2556000000000001E-5</v>
      </c>
      <c r="AU71" s="189">
        <f>S71/'Building &amp; Material inputs'!$C$18/'Building &amp; Material inputs'!$C$19</f>
        <v>0.25936899999999996</v>
      </c>
      <c r="AV71" s="189">
        <f>T71/'Building &amp; Material inputs'!$C$18/'Building &amp; Material inputs'!$C$19</f>
        <v>8.3271099999999993</v>
      </c>
      <c r="AW71" s="189">
        <f>U71/'Building &amp; Material inputs'!$C$18/'Building &amp; Material inputs'!$C$19</f>
        <v>1.3192850000000002E-6</v>
      </c>
      <c r="AX71" s="189">
        <f>V71/'Building &amp; Material inputs'!$C$18/'Building &amp; Material inputs'!$C$19</f>
        <v>1.1350502673796792E-6</v>
      </c>
      <c r="AY71" s="189">
        <f>W71/'Building &amp; Material inputs'!$C$18/'Building &amp; Material inputs'!$C$19</f>
        <v>1.0027875000000002E-4</v>
      </c>
      <c r="AZ71" s="189">
        <f>X71/'Building &amp; Material inputs'!$C$18/'Building &amp; Material inputs'!$C$19</f>
        <v>1.1809050000000001E-3</v>
      </c>
      <c r="BA71" s="189">
        <f>Y71/'Building &amp; Material inputs'!$C$18/'Building &amp; Material inputs'!$C$19</f>
        <v>4.4118723000000006E-7</v>
      </c>
      <c r="BB71" s="141">
        <f>Z71/'Building &amp; Material inputs'!$C$18/'Building &amp; Material inputs'!$C$19</f>
        <v>7.7979E-3</v>
      </c>
      <c r="BC71" s="141">
        <f>AA71/'Building &amp; Material inputs'!$C$18/'Building &amp; Material inputs'!$C$19</f>
        <v>0.11500499999999998</v>
      </c>
      <c r="BD71" s="141">
        <f>AB71/'Building &amp; Material inputs'!$C$18/'Building &amp; Material inputs'!$C$19</f>
        <v>2.7582499999999999E-8</v>
      </c>
      <c r="BE71" s="141">
        <f>AC71/'Building &amp; Material inputs'!$C$18/'Building &amp; Material inputs'!$C$19</f>
        <v>3.15095E-5</v>
      </c>
      <c r="BF71" s="141">
        <f>AD71/'Building &amp; Material inputs'!$C$18/'Building &amp; Material inputs'!$C$19</f>
        <v>5.2266499999999987E-7</v>
      </c>
      <c r="BG71" s="141">
        <f>AE71/'Building &amp; Material inputs'!$C$18/'Building &amp; Material inputs'!$C$19</f>
        <v>3.1789999999999999E-5</v>
      </c>
      <c r="BH71" s="141">
        <f>AF71/'Building &amp; Material inputs'!$C$18/'Building &amp; Material inputs'!$C$19</f>
        <v>1.7951999999999998E-9</v>
      </c>
      <c r="BI71" s="188">
        <f>AG71/'Building &amp; Material inputs'!$C$18/'Building &amp; Material inputs'!$C$19</f>
        <v>3.2912000000000004E-6</v>
      </c>
      <c r="BJ71" s="188">
        <f>AH71/'Building &amp; Material inputs'!$C$18/'Building &amp; Material inputs'!$C$19</f>
        <v>7.2275500000000003E-5</v>
      </c>
      <c r="BK71" s="188">
        <f>AI71/'Building &amp; Material inputs'!$C$18/'Building &amp; Material inputs'!$C$19</f>
        <v>2.0850499999999999E-11</v>
      </c>
      <c r="BL71" s="188">
        <f>AJ71/'Building &amp; Material inputs'!$C$18/'Building &amp; Material inputs'!$C$19</f>
        <v>4.7404499999999999E-8</v>
      </c>
      <c r="BM71" s="188">
        <f>AK71/'Building &amp; Material inputs'!$C$18/'Building &amp; Material inputs'!$C$19</f>
        <v>8.1064499999999994E-9</v>
      </c>
      <c r="BN71" s="188">
        <f>AL71/'Building &amp; Material inputs'!$C$18/'Building &amp; Material inputs'!$C$19</f>
        <v>1.6175500000000001E-8</v>
      </c>
      <c r="BO71" s="188">
        <f>AM71/'Building &amp; Material inputs'!$C$18/'Building &amp; Material inputs'!$C$19</f>
        <v>9.3499999999999993E-14</v>
      </c>
    </row>
    <row r="72" spans="2:67" x14ac:dyDescent="0.25">
      <c r="B72" s="334"/>
      <c r="C72" s="305"/>
      <c r="D72" s="302"/>
      <c r="E72" s="303" t="s">
        <v>490</v>
      </c>
      <c r="F72" s="65" t="s">
        <v>147</v>
      </c>
      <c r="G72" s="66" t="s">
        <v>94</v>
      </c>
      <c r="H72" s="7" t="str">
        <f>'Material quantities'!G72</f>
        <v>WFL</v>
      </c>
      <c r="I72" s="38">
        <f>'Material quantities'!O72</f>
        <v>0</v>
      </c>
      <c r="J72" s="68" t="s">
        <v>332</v>
      </c>
      <c r="K72" s="2"/>
      <c r="L72" s="144">
        <f>VLOOKUP($H72,'Material impact data'!$E$19:$AM$61,6,0)/VLOOKUP($H72,'Material impact data'!$E$19:$AM$61,4,0)*$I72</f>
        <v>0</v>
      </c>
      <c r="M72" s="138">
        <f>VLOOKUP($H72,'Material impact data'!$E$19:$AM$61,'Material impact data'!M$15,0)/VLOOKUP($H72,'Material impact data'!$E$19:$AM$61,4,0)*$I72</f>
        <v>0</v>
      </c>
      <c r="N72" s="138">
        <f>VLOOKUP($H72,'Material impact data'!$E$19:$AM$61,'Material impact data'!N$15,0)/VLOOKUP($H72,'Material impact data'!$E$19:$AM$61,4,0)*$I72</f>
        <v>0</v>
      </c>
      <c r="O72" s="180">
        <f>VLOOKUP($H72,'Material impact data'!$E$19:$AM$61,'Material impact data'!O$15,0)/VLOOKUP($H72,'Material impact data'!$E$19:$AM$61,4,0)*$I72</f>
        <v>0</v>
      </c>
      <c r="P72" s="180">
        <f>VLOOKUP($H72,'Material impact data'!$E$19:$AM$61,'Material impact data'!P$15,0)/VLOOKUP($H72,'Material impact data'!$E$19:$AM$61,4,0)*$I72</f>
        <v>0</v>
      </c>
      <c r="Q72" s="179">
        <f>VLOOKUP($H72,'Material impact data'!$E$19:$AM$61,'Material impact data'!Q$15,0)/VLOOKUP($H72,'Material impact data'!$E$19:$AM$61,4,0)*$I72</f>
        <v>0</v>
      </c>
      <c r="R72" s="179">
        <f>VLOOKUP($H72,'Material impact data'!$E$19:$AM$61,'Material impact data'!R$15,0)/VLOOKUP($H72,'Material impact data'!$E$19:$AM$61,4,0)*$I72</f>
        <v>0</v>
      </c>
      <c r="S72" s="138">
        <f>VLOOKUP($H72,'Material impact data'!$E$19:$AM$61,'Material impact data'!S$15,0)/VLOOKUP($H72,'Material impact data'!$E$19:$AM$61,4,0)*$I72</f>
        <v>0</v>
      </c>
      <c r="T72" s="138">
        <f>VLOOKUP($H72,'Material impact data'!$E$19:$AM$61,'Material impact data'!T$15,0)/VLOOKUP($H72,'Material impact data'!$E$19:$AM$61,4,0)*$I72</f>
        <v>0</v>
      </c>
      <c r="U72" s="138">
        <f>VLOOKUP($H72,'Material impact data'!$E$19:$AM$61,'Material impact data'!U$15,0)/VLOOKUP($H72,'Material impact data'!$E$19:$AM$61,4,0)*$I72</f>
        <v>0</v>
      </c>
      <c r="V72" s="138">
        <f>VLOOKUP($H72,'Material impact data'!$E$19:$AM$61,'Material impact data'!V$15,0)/VLOOKUP($H72,'Material impact data'!$E$19:$AM$61,4,0)*$I72</f>
        <v>0</v>
      </c>
      <c r="W72" s="138">
        <f>VLOOKUP($H72,'Material impact data'!$E$19:$AM$61,'Material impact data'!W$15,0)/VLOOKUP($H72,'Material impact data'!$E$19:$AM$61,4,0)*$I72</f>
        <v>0</v>
      </c>
      <c r="X72" s="138">
        <f>VLOOKUP($H72,'Material impact data'!$E$19:$AM$61,'Material impact data'!X$15,0)/VLOOKUP($H72,'Material impact data'!$E$19:$AM$61,4,0)*$I72</f>
        <v>0</v>
      </c>
      <c r="Y72" s="138">
        <f>VLOOKUP($H72,'Material impact data'!$E$19:$AM$61,'Material impact data'!Y$15,0)/VLOOKUP($H72,'Material impact data'!$E$19:$AM$61,4,0)*$I72</f>
        <v>0</v>
      </c>
      <c r="Z72" s="180">
        <f>VLOOKUP($H72,'Material impact data'!$E$19:$AM$61,'Material impact data'!Z$15,0)/VLOOKUP($H72,'Material impact data'!$E$19:$AM$61,4,0)*$I72</f>
        <v>0</v>
      </c>
      <c r="AA72" s="180">
        <f>VLOOKUP($H72,'Material impact data'!$E$19:$AM$61,'Material impact data'!AA$15,0)/VLOOKUP($H72,'Material impact data'!$E$19:$AM$61,4,0)*$I72</f>
        <v>0</v>
      </c>
      <c r="AB72" s="180">
        <f>VLOOKUP($H72,'Material impact data'!$E$19:$AM$61,'Material impact data'!AB$15,0)/VLOOKUP($H72,'Material impact data'!$E$19:$AM$61,4,0)*$I72</f>
        <v>0</v>
      </c>
      <c r="AC72" s="180">
        <f>VLOOKUP($H72,'Material impact data'!$E$19:$AM$61,'Material impact data'!AC$15,0)/VLOOKUP($H72,'Material impact data'!$E$19:$AM$61,4,0)*$I72</f>
        <v>0</v>
      </c>
      <c r="AD72" s="180">
        <f>VLOOKUP($H72,'Material impact data'!$E$19:$AM$61,'Material impact data'!AD$15,0)/VLOOKUP($H72,'Material impact data'!$E$19:$AM$61,4,0)*$I72</f>
        <v>0</v>
      </c>
      <c r="AE72" s="180">
        <f>VLOOKUP($H72,'Material impact data'!$E$19:$AM$61,'Material impact data'!AE$15,0)/VLOOKUP($H72,'Material impact data'!$E$19:$AM$61,4,0)*$I72</f>
        <v>0</v>
      </c>
      <c r="AF72" s="180">
        <f>VLOOKUP($H72,'Material impact data'!$E$19:$AM$61,'Material impact data'!AF$15,0)/VLOOKUP($H72,'Material impact data'!$E$19:$AM$61,4,0)*$I72</f>
        <v>0</v>
      </c>
      <c r="AG72" s="179">
        <f>VLOOKUP($H72,'Material impact data'!$E$19:$AM$61,'Material impact data'!AG$15,0)/VLOOKUP($H72,'Material impact data'!$E$19:$AM$61,4,0)*$I72</f>
        <v>0</v>
      </c>
      <c r="AH72" s="179">
        <f>VLOOKUP($H72,'Material impact data'!$E$19:$AM$61,'Material impact data'!AH$15,0)/VLOOKUP($H72,'Material impact data'!$E$19:$AM$61,4,0)*$I72</f>
        <v>0</v>
      </c>
      <c r="AI72" s="179">
        <f>VLOOKUP($H72,'Material impact data'!$E$19:$AM$61,'Material impact data'!AI$15,0)/VLOOKUP($H72,'Material impact data'!$E$19:$AM$61,4,0)*$I72</f>
        <v>0</v>
      </c>
      <c r="AJ72" s="179">
        <f>VLOOKUP($H72,'Material impact data'!$E$19:$AM$61,'Material impact data'!AJ$15,0)/VLOOKUP($H72,'Material impact data'!$E$19:$AM$61,4,0)*$I72</f>
        <v>0</v>
      </c>
      <c r="AK72" s="179">
        <f>VLOOKUP($H72,'Material impact data'!$E$19:$AM$61,'Material impact data'!AK$15,0)/VLOOKUP($H72,'Material impact data'!$E$19:$AM$61,4,0)*$I72</f>
        <v>0</v>
      </c>
      <c r="AL72" s="179">
        <f>VLOOKUP($H72,'Material impact data'!$E$19:$AM$61,'Material impact data'!AL$15,0)/VLOOKUP($H72,'Material impact data'!$E$19:$AM$61,4,0)*$I72</f>
        <v>0</v>
      </c>
      <c r="AM72" s="179">
        <f>VLOOKUP($H72,'Material impact data'!$E$19:$AM$61,'Material impact data'!AM$15,0)/VLOOKUP($H72,'Material impact data'!$E$19:$AM$61,4,0)*$I72</f>
        <v>0</v>
      </c>
      <c r="AO72" s="189">
        <f>M72/'Building &amp; Material inputs'!$C$18/'Building &amp; Material inputs'!$C$19</f>
        <v>0</v>
      </c>
      <c r="AP72" s="189">
        <f>N72/'Building &amp; Material inputs'!$C$18/'Building &amp; Material inputs'!$C$19</f>
        <v>0</v>
      </c>
      <c r="AQ72" s="141">
        <f>O72/'Building &amp; Material inputs'!$C$18/'Building &amp; Material inputs'!$C$19</f>
        <v>0</v>
      </c>
      <c r="AR72" s="141">
        <f>P72/'Building &amp; Material inputs'!$C$18/'Building &amp; Material inputs'!$C$19</f>
        <v>0</v>
      </c>
      <c r="AS72" s="188">
        <f>Q72/'Building &amp; Material inputs'!$C$18/'Building &amp; Material inputs'!$C$19</f>
        <v>0</v>
      </c>
      <c r="AT72" s="188">
        <f>R72/'Building &amp; Material inputs'!$C$18/'Building &amp; Material inputs'!$C$19</f>
        <v>0</v>
      </c>
      <c r="AU72" s="189">
        <f>S72/'Building &amp; Material inputs'!$C$18/'Building &amp; Material inputs'!$C$19</f>
        <v>0</v>
      </c>
      <c r="AV72" s="189">
        <f>T72/'Building &amp; Material inputs'!$C$18/'Building &amp; Material inputs'!$C$19</f>
        <v>0</v>
      </c>
      <c r="AW72" s="189">
        <f>U72/'Building &amp; Material inputs'!$C$18/'Building &amp; Material inputs'!$C$19</f>
        <v>0</v>
      </c>
      <c r="AX72" s="189">
        <f>V72/'Building &amp; Material inputs'!$C$18/'Building &amp; Material inputs'!$C$19</f>
        <v>0</v>
      </c>
      <c r="AY72" s="189">
        <f>W72/'Building &amp; Material inputs'!$C$18/'Building &amp; Material inputs'!$C$19</f>
        <v>0</v>
      </c>
      <c r="AZ72" s="189">
        <f>X72/'Building &amp; Material inputs'!$C$18/'Building &amp; Material inputs'!$C$19</f>
        <v>0</v>
      </c>
      <c r="BA72" s="189">
        <f>Y72/'Building &amp; Material inputs'!$C$18/'Building &amp; Material inputs'!$C$19</f>
        <v>0</v>
      </c>
      <c r="BB72" s="141">
        <f>Z72/'Building &amp; Material inputs'!$C$18/'Building &amp; Material inputs'!$C$19</f>
        <v>0</v>
      </c>
      <c r="BC72" s="141">
        <f>AA72/'Building &amp; Material inputs'!$C$18/'Building &amp; Material inputs'!$C$19</f>
        <v>0</v>
      </c>
      <c r="BD72" s="141">
        <f>AB72/'Building &amp; Material inputs'!$C$18/'Building &amp; Material inputs'!$C$19</f>
        <v>0</v>
      </c>
      <c r="BE72" s="141">
        <f>AC72/'Building &amp; Material inputs'!$C$18/'Building &amp; Material inputs'!$C$19</f>
        <v>0</v>
      </c>
      <c r="BF72" s="141">
        <f>AD72/'Building &amp; Material inputs'!$C$18/'Building &amp; Material inputs'!$C$19</f>
        <v>0</v>
      </c>
      <c r="BG72" s="141">
        <f>AE72/'Building &amp; Material inputs'!$C$18/'Building &amp; Material inputs'!$C$19</f>
        <v>0</v>
      </c>
      <c r="BH72" s="141">
        <f>AF72/'Building &amp; Material inputs'!$C$18/'Building &amp; Material inputs'!$C$19</f>
        <v>0</v>
      </c>
      <c r="BI72" s="188">
        <f>AG72/'Building &amp; Material inputs'!$C$18/'Building &amp; Material inputs'!$C$19</f>
        <v>0</v>
      </c>
      <c r="BJ72" s="188">
        <f>AH72/'Building &amp; Material inputs'!$C$18/'Building &amp; Material inputs'!$C$19</f>
        <v>0</v>
      </c>
      <c r="BK72" s="188">
        <f>AI72/'Building &amp; Material inputs'!$C$18/'Building &amp; Material inputs'!$C$19</f>
        <v>0</v>
      </c>
      <c r="BL72" s="188">
        <f>AJ72/'Building &amp; Material inputs'!$C$18/'Building &amp; Material inputs'!$C$19</f>
        <v>0</v>
      </c>
      <c r="BM72" s="188">
        <f>AK72/'Building &amp; Material inputs'!$C$18/'Building &amp; Material inputs'!$C$19</f>
        <v>0</v>
      </c>
      <c r="BN72" s="188">
        <f>AL72/'Building &amp; Material inputs'!$C$18/'Building &amp; Material inputs'!$C$19</f>
        <v>0</v>
      </c>
      <c r="BO72" s="188">
        <f>AM72/'Building &amp; Material inputs'!$C$18/'Building &amp; Material inputs'!$C$19</f>
        <v>0</v>
      </c>
    </row>
    <row r="73" spans="2:67" x14ac:dyDescent="0.25">
      <c r="B73" s="334"/>
      <c r="C73" s="305"/>
      <c r="D73" s="302"/>
      <c r="E73" s="303"/>
      <c r="F73" s="65" t="s">
        <v>148</v>
      </c>
      <c r="G73" s="66" t="s">
        <v>95</v>
      </c>
      <c r="H73" s="7" t="str">
        <f>'Material quantities'!G73</f>
        <v>PLYW</v>
      </c>
      <c r="I73" s="38">
        <f>'Material quantities'!O73</f>
        <v>0</v>
      </c>
      <c r="J73" s="68" t="s">
        <v>14</v>
      </c>
      <c r="K73" s="2"/>
      <c r="L73" s="144">
        <f>VLOOKUP($H73,'Material impact data'!$E$19:$AM$61,6,0)/VLOOKUP($H73,'Material impact data'!$E$19:$AM$61,4,0)*$I73</f>
        <v>0</v>
      </c>
      <c r="M73" s="138">
        <f>VLOOKUP($H73,'Material impact data'!$E$19:$AM$61,'Material impact data'!M$15,0)/VLOOKUP($H73,'Material impact data'!$E$19:$AM$61,4,0)*$I73</f>
        <v>0</v>
      </c>
      <c r="N73" s="138">
        <f>VLOOKUP($H73,'Material impact data'!$E$19:$AM$61,'Material impact data'!N$15,0)/VLOOKUP($H73,'Material impact data'!$E$19:$AM$61,4,0)*$I73</f>
        <v>0</v>
      </c>
      <c r="O73" s="180">
        <f>VLOOKUP($H73,'Material impact data'!$E$19:$AM$61,'Material impact data'!O$15,0)/VLOOKUP($H73,'Material impact data'!$E$19:$AM$61,4,0)*$I73</f>
        <v>0</v>
      </c>
      <c r="P73" s="180">
        <f>VLOOKUP($H73,'Material impact data'!$E$19:$AM$61,'Material impact data'!P$15,0)/VLOOKUP($H73,'Material impact data'!$E$19:$AM$61,4,0)*$I73</f>
        <v>0</v>
      </c>
      <c r="Q73" s="179">
        <f>VLOOKUP($H73,'Material impact data'!$E$19:$AM$61,'Material impact data'!Q$15,0)/VLOOKUP($H73,'Material impact data'!$E$19:$AM$61,4,0)*$I73</f>
        <v>0</v>
      </c>
      <c r="R73" s="179">
        <f>VLOOKUP($H73,'Material impact data'!$E$19:$AM$61,'Material impact data'!R$15,0)/VLOOKUP($H73,'Material impact data'!$E$19:$AM$61,4,0)*$I73</f>
        <v>0</v>
      </c>
      <c r="S73" s="138">
        <f>VLOOKUP($H73,'Material impact data'!$E$19:$AM$61,'Material impact data'!S$15,0)/VLOOKUP($H73,'Material impact data'!$E$19:$AM$61,4,0)*$I73</f>
        <v>0</v>
      </c>
      <c r="T73" s="138">
        <f>VLOOKUP($H73,'Material impact data'!$E$19:$AM$61,'Material impact data'!T$15,0)/VLOOKUP($H73,'Material impact data'!$E$19:$AM$61,4,0)*$I73</f>
        <v>0</v>
      </c>
      <c r="U73" s="138">
        <f>VLOOKUP($H73,'Material impact data'!$E$19:$AM$61,'Material impact data'!U$15,0)/VLOOKUP($H73,'Material impact data'!$E$19:$AM$61,4,0)*$I73</f>
        <v>0</v>
      </c>
      <c r="V73" s="138">
        <f>VLOOKUP($H73,'Material impact data'!$E$19:$AM$61,'Material impact data'!V$15,0)/VLOOKUP($H73,'Material impact data'!$E$19:$AM$61,4,0)*$I73</f>
        <v>0</v>
      </c>
      <c r="W73" s="138">
        <f>VLOOKUP($H73,'Material impact data'!$E$19:$AM$61,'Material impact data'!W$15,0)/VLOOKUP($H73,'Material impact data'!$E$19:$AM$61,4,0)*$I73</f>
        <v>0</v>
      </c>
      <c r="X73" s="138">
        <f>VLOOKUP($H73,'Material impact data'!$E$19:$AM$61,'Material impact data'!X$15,0)/VLOOKUP($H73,'Material impact data'!$E$19:$AM$61,4,0)*$I73</f>
        <v>0</v>
      </c>
      <c r="Y73" s="138">
        <f>VLOOKUP($H73,'Material impact data'!$E$19:$AM$61,'Material impact data'!Y$15,0)/VLOOKUP($H73,'Material impact data'!$E$19:$AM$61,4,0)*$I73</f>
        <v>0</v>
      </c>
      <c r="Z73" s="180">
        <f>VLOOKUP($H73,'Material impact data'!$E$19:$AM$61,'Material impact data'!Z$15,0)/VLOOKUP($H73,'Material impact data'!$E$19:$AM$61,4,0)*$I73</f>
        <v>0</v>
      </c>
      <c r="AA73" s="180">
        <f>VLOOKUP($H73,'Material impact data'!$E$19:$AM$61,'Material impact data'!AA$15,0)/VLOOKUP($H73,'Material impact data'!$E$19:$AM$61,4,0)*$I73</f>
        <v>0</v>
      </c>
      <c r="AB73" s="180">
        <f>VLOOKUP($H73,'Material impact data'!$E$19:$AM$61,'Material impact data'!AB$15,0)/VLOOKUP($H73,'Material impact data'!$E$19:$AM$61,4,0)*$I73</f>
        <v>0</v>
      </c>
      <c r="AC73" s="180">
        <f>VLOOKUP($H73,'Material impact data'!$E$19:$AM$61,'Material impact data'!AC$15,0)/VLOOKUP($H73,'Material impact data'!$E$19:$AM$61,4,0)*$I73</f>
        <v>0</v>
      </c>
      <c r="AD73" s="180">
        <f>VLOOKUP($H73,'Material impact data'!$E$19:$AM$61,'Material impact data'!AD$15,0)/VLOOKUP($H73,'Material impact data'!$E$19:$AM$61,4,0)*$I73</f>
        <v>0</v>
      </c>
      <c r="AE73" s="180">
        <f>VLOOKUP($H73,'Material impact data'!$E$19:$AM$61,'Material impact data'!AE$15,0)/VLOOKUP($H73,'Material impact data'!$E$19:$AM$61,4,0)*$I73</f>
        <v>0</v>
      </c>
      <c r="AF73" s="180">
        <f>VLOOKUP($H73,'Material impact data'!$E$19:$AM$61,'Material impact data'!AF$15,0)/VLOOKUP($H73,'Material impact data'!$E$19:$AM$61,4,0)*$I73</f>
        <v>0</v>
      </c>
      <c r="AG73" s="179">
        <f>VLOOKUP($H73,'Material impact data'!$E$19:$AM$61,'Material impact data'!AG$15,0)/VLOOKUP($H73,'Material impact data'!$E$19:$AM$61,4,0)*$I73</f>
        <v>0</v>
      </c>
      <c r="AH73" s="179">
        <f>VLOOKUP($H73,'Material impact data'!$E$19:$AM$61,'Material impact data'!AH$15,0)/VLOOKUP($H73,'Material impact data'!$E$19:$AM$61,4,0)*$I73</f>
        <v>0</v>
      </c>
      <c r="AI73" s="179">
        <f>VLOOKUP($H73,'Material impact data'!$E$19:$AM$61,'Material impact data'!AI$15,0)/VLOOKUP($H73,'Material impact data'!$E$19:$AM$61,4,0)*$I73</f>
        <v>0</v>
      </c>
      <c r="AJ73" s="179">
        <f>VLOOKUP($H73,'Material impact data'!$E$19:$AM$61,'Material impact data'!AJ$15,0)/VLOOKUP($H73,'Material impact data'!$E$19:$AM$61,4,0)*$I73</f>
        <v>0</v>
      </c>
      <c r="AK73" s="179">
        <f>VLOOKUP($H73,'Material impact data'!$E$19:$AM$61,'Material impact data'!AK$15,0)/VLOOKUP($H73,'Material impact data'!$E$19:$AM$61,4,0)*$I73</f>
        <v>0</v>
      </c>
      <c r="AL73" s="179">
        <f>VLOOKUP($H73,'Material impact data'!$E$19:$AM$61,'Material impact data'!AL$15,0)/VLOOKUP($H73,'Material impact data'!$E$19:$AM$61,4,0)*$I73</f>
        <v>0</v>
      </c>
      <c r="AM73" s="179">
        <f>VLOOKUP($H73,'Material impact data'!$E$19:$AM$61,'Material impact data'!AM$15,0)/VLOOKUP($H73,'Material impact data'!$E$19:$AM$61,4,0)*$I73</f>
        <v>0</v>
      </c>
      <c r="AO73" s="189">
        <f>M73/'Building &amp; Material inputs'!$C$18/'Building &amp; Material inputs'!$C$19</f>
        <v>0</v>
      </c>
      <c r="AP73" s="189">
        <f>N73/'Building &amp; Material inputs'!$C$18/'Building &amp; Material inputs'!$C$19</f>
        <v>0</v>
      </c>
      <c r="AQ73" s="141">
        <f>O73/'Building &amp; Material inputs'!$C$18/'Building &amp; Material inputs'!$C$19</f>
        <v>0</v>
      </c>
      <c r="AR73" s="141">
        <f>P73/'Building &amp; Material inputs'!$C$18/'Building &amp; Material inputs'!$C$19</f>
        <v>0</v>
      </c>
      <c r="AS73" s="188">
        <f>Q73/'Building &amp; Material inputs'!$C$18/'Building &amp; Material inputs'!$C$19</f>
        <v>0</v>
      </c>
      <c r="AT73" s="188">
        <f>R73/'Building &amp; Material inputs'!$C$18/'Building &amp; Material inputs'!$C$19</f>
        <v>0</v>
      </c>
      <c r="AU73" s="189">
        <f>S73/'Building &amp; Material inputs'!$C$18/'Building &amp; Material inputs'!$C$19</f>
        <v>0</v>
      </c>
      <c r="AV73" s="189">
        <f>T73/'Building &amp; Material inputs'!$C$18/'Building &amp; Material inputs'!$C$19</f>
        <v>0</v>
      </c>
      <c r="AW73" s="189">
        <f>U73/'Building &amp; Material inputs'!$C$18/'Building &amp; Material inputs'!$C$19</f>
        <v>0</v>
      </c>
      <c r="AX73" s="189">
        <f>V73/'Building &amp; Material inputs'!$C$18/'Building &amp; Material inputs'!$C$19</f>
        <v>0</v>
      </c>
      <c r="AY73" s="189">
        <f>W73/'Building &amp; Material inputs'!$C$18/'Building &amp; Material inputs'!$C$19</f>
        <v>0</v>
      </c>
      <c r="AZ73" s="189">
        <f>X73/'Building &amp; Material inputs'!$C$18/'Building &amp; Material inputs'!$C$19</f>
        <v>0</v>
      </c>
      <c r="BA73" s="189">
        <f>Y73/'Building &amp; Material inputs'!$C$18/'Building &amp; Material inputs'!$C$19</f>
        <v>0</v>
      </c>
      <c r="BB73" s="141">
        <f>Z73/'Building &amp; Material inputs'!$C$18/'Building &amp; Material inputs'!$C$19</f>
        <v>0</v>
      </c>
      <c r="BC73" s="141">
        <f>AA73/'Building &amp; Material inputs'!$C$18/'Building &amp; Material inputs'!$C$19</f>
        <v>0</v>
      </c>
      <c r="BD73" s="141">
        <f>AB73/'Building &amp; Material inputs'!$C$18/'Building &amp; Material inputs'!$C$19</f>
        <v>0</v>
      </c>
      <c r="BE73" s="141">
        <f>AC73/'Building &amp; Material inputs'!$C$18/'Building &amp; Material inputs'!$C$19</f>
        <v>0</v>
      </c>
      <c r="BF73" s="141">
        <f>AD73/'Building &amp; Material inputs'!$C$18/'Building &amp; Material inputs'!$C$19</f>
        <v>0</v>
      </c>
      <c r="BG73" s="141">
        <f>AE73/'Building &amp; Material inputs'!$C$18/'Building &amp; Material inputs'!$C$19</f>
        <v>0</v>
      </c>
      <c r="BH73" s="141">
        <f>AF73/'Building &amp; Material inputs'!$C$18/'Building &amp; Material inputs'!$C$19</f>
        <v>0</v>
      </c>
      <c r="BI73" s="188">
        <f>AG73/'Building &amp; Material inputs'!$C$18/'Building &amp; Material inputs'!$C$19</f>
        <v>0</v>
      </c>
      <c r="BJ73" s="188">
        <f>AH73/'Building &amp; Material inputs'!$C$18/'Building &amp; Material inputs'!$C$19</f>
        <v>0</v>
      </c>
      <c r="BK73" s="188">
        <f>AI73/'Building &amp; Material inputs'!$C$18/'Building &amp; Material inputs'!$C$19</f>
        <v>0</v>
      </c>
      <c r="BL73" s="188">
        <f>AJ73/'Building &amp; Material inputs'!$C$18/'Building &amp; Material inputs'!$C$19</f>
        <v>0</v>
      </c>
      <c r="BM73" s="188">
        <f>AK73/'Building &amp; Material inputs'!$C$18/'Building &amp; Material inputs'!$C$19</f>
        <v>0</v>
      </c>
      <c r="BN73" s="188">
        <f>AL73/'Building &amp; Material inputs'!$C$18/'Building &amp; Material inputs'!$C$19</f>
        <v>0</v>
      </c>
      <c r="BO73" s="188">
        <f>AM73/'Building &amp; Material inputs'!$C$18/'Building &amp; Material inputs'!$C$19</f>
        <v>0</v>
      </c>
    </row>
    <row r="74" spans="2:67" x14ac:dyDescent="0.25">
      <c r="B74" s="334"/>
      <c r="C74" s="305"/>
      <c r="D74" s="302"/>
      <c r="E74" s="303"/>
      <c r="F74" s="65" t="s">
        <v>149</v>
      </c>
      <c r="G74" s="71" t="s">
        <v>57</v>
      </c>
      <c r="H74" s="7" t="str">
        <f>'Material quantities'!G74</f>
        <v>MWOOL</v>
      </c>
      <c r="I74" s="38">
        <f>'Material quantities'!O74</f>
        <v>0</v>
      </c>
      <c r="J74" s="68" t="s">
        <v>14</v>
      </c>
      <c r="K74" s="2"/>
      <c r="L74" s="144">
        <f>VLOOKUP($H74,'Material impact data'!$E$19:$AM$61,6,0)/VLOOKUP($H74,'Material impact data'!$E$19:$AM$61,4,0)*$I74</f>
        <v>0</v>
      </c>
      <c r="M74" s="138">
        <f>VLOOKUP($H74,'Material impact data'!$E$19:$AM$61,'Material impact data'!M$15,0)/VLOOKUP($H74,'Material impact data'!$E$19:$AM$61,4,0)*$I74</f>
        <v>0</v>
      </c>
      <c r="N74" s="138">
        <f>VLOOKUP($H74,'Material impact data'!$E$19:$AM$61,'Material impact data'!N$15,0)/VLOOKUP($H74,'Material impact data'!$E$19:$AM$61,4,0)*$I74</f>
        <v>0</v>
      </c>
      <c r="O74" s="180">
        <f>VLOOKUP($H74,'Material impact data'!$E$19:$AM$61,'Material impact data'!O$15,0)/VLOOKUP($H74,'Material impact data'!$E$19:$AM$61,4,0)*$I74</f>
        <v>0</v>
      </c>
      <c r="P74" s="180">
        <f>VLOOKUP($H74,'Material impact data'!$E$19:$AM$61,'Material impact data'!P$15,0)/VLOOKUP($H74,'Material impact data'!$E$19:$AM$61,4,0)*$I74</f>
        <v>0</v>
      </c>
      <c r="Q74" s="179">
        <f>VLOOKUP($H74,'Material impact data'!$E$19:$AM$61,'Material impact data'!Q$15,0)/VLOOKUP($H74,'Material impact data'!$E$19:$AM$61,4,0)*$I74</f>
        <v>0</v>
      </c>
      <c r="R74" s="179">
        <f>VLOOKUP($H74,'Material impact data'!$E$19:$AM$61,'Material impact data'!R$15,0)/VLOOKUP($H74,'Material impact data'!$E$19:$AM$61,4,0)*$I74</f>
        <v>0</v>
      </c>
      <c r="S74" s="138">
        <f>VLOOKUP($H74,'Material impact data'!$E$19:$AM$61,'Material impact data'!S$15,0)/VLOOKUP($H74,'Material impact data'!$E$19:$AM$61,4,0)*$I74</f>
        <v>0</v>
      </c>
      <c r="T74" s="138">
        <f>VLOOKUP($H74,'Material impact data'!$E$19:$AM$61,'Material impact data'!T$15,0)/VLOOKUP($H74,'Material impact data'!$E$19:$AM$61,4,0)*$I74</f>
        <v>0</v>
      </c>
      <c r="U74" s="138">
        <f>VLOOKUP($H74,'Material impact data'!$E$19:$AM$61,'Material impact data'!U$15,0)/VLOOKUP($H74,'Material impact data'!$E$19:$AM$61,4,0)*$I74</f>
        <v>0</v>
      </c>
      <c r="V74" s="138">
        <f>VLOOKUP($H74,'Material impact data'!$E$19:$AM$61,'Material impact data'!V$15,0)/VLOOKUP($H74,'Material impact data'!$E$19:$AM$61,4,0)*$I74</f>
        <v>0</v>
      </c>
      <c r="W74" s="138">
        <f>VLOOKUP($H74,'Material impact data'!$E$19:$AM$61,'Material impact data'!W$15,0)/VLOOKUP($H74,'Material impact data'!$E$19:$AM$61,4,0)*$I74</f>
        <v>0</v>
      </c>
      <c r="X74" s="138">
        <f>VLOOKUP($H74,'Material impact data'!$E$19:$AM$61,'Material impact data'!X$15,0)/VLOOKUP($H74,'Material impact data'!$E$19:$AM$61,4,0)*$I74</f>
        <v>0</v>
      </c>
      <c r="Y74" s="138">
        <f>VLOOKUP($H74,'Material impact data'!$E$19:$AM$61,'Material impact data'!Y$15,0)/VLOOKUP($H74,'Material impact data'!$E$19:$AM$61,4,0)*$I74</f>
        <v>0</v>
      </c>
      <c r="Z74" s="180">
        <f>VLOOKUP($H74,'Material impact data'!$E$19:$AM$61,'Material impact data'!Z$15,0)/VLOOKUP($H74,'Material impact data'!$E$19:$AM$61,4,0)*$I74</f>
        <v>0</v>
      </c>
      <c r="AA74" s="180">
        <f>VLOOKUP($H74,'Material impact data'!$E$19:$AM$61,'Material impact data'!AA$15,0)/VLOOKUP($H74,'Material impact data'!$E$19:$AM$61,4,0)*$I74</f>
        <v>0</v>
      </c>
      <c r="AB74" s="180">
        <f>VLOOKUP($H74,'Material impact data'!$E$19:$AM$61,'Material impact data'!AB$15,0)/VLOOKUP($H74,'Material impact data'!$E$19:$AM$61,4,0)*$I74</f>
        <v>0</v>
      </c>
      <c r="AC74" s="180">
        <f>VLOOKUP($H74,'Material impact data'!$E$19:$AM$61,'Material impact data'!AC$15,0)/VLOOKUP($H74,'Material impact data'!$E$19:$AM$61,4,0)*$I74</f>
        <v>0</v>
      </c>
      <c r="AD74" s="180">
        <f>VLOOKUP($H74,'Material impact data'!$E$19:$AM$61,'Material impact data'!AD$15,0)/VLOOKUP($H74,'Material impact data'!$E$19:$AM$61,4,0)*$I74</f>
        <v>0</v>
      </c>
      <c r="AE74" s="180">
        <f>VLOOKUP($H74,'Material impact data'!$E$19:$AM$61,'Material impact data'!AE$15,0)/VLOOKUP($H74,'Material impact data'!$E$19:$AM$61,4,0)*$I74</f>
        <v>0</v>
      </c>
      <c r="AF74" s="180">
        <f>VLOOKUP($H74,'Material impact data'!$E$19:$AM$61,'Material impact data'!AF$15,0)/VLOOKUP($H74,'Material impact data'!$E$19:$AM$61,4,0)*$I74</f>
        <v>0</v>
      </c>
      <c r="AG74" s="179">
        <f>VLOOKUP($H74,'Material impact data'!$E$19:$AM$61,'Material impact data'!AG$15,0)/VLOOKUP($H74,'Material impact data'!$E$19:$AM$61,4,0)*$I74</f>
        <v>0</v>
      </c>
      <c r="AH74" s="179">
        <f>VLOOKUP($H74,'Material impact data'!$E$19:$AM$61,'Material impact data'!AH$15,0)/VLOOKUP($H74,'Material impact data'!$E$19:$AM$61,4,0)*$I74</f>
        <v>0</v>
      </c>
      <c r="AI74" s="179">
        <f>VLOOKUP($H74,'Material impact data'!$E$19:$AM$61,'Material impact data'!AI$15,0)/VLOOKUP($H74,'Material impact data'!$E$19:$AM$61,4,0)*$I74</f>
        <v>0</v>
      </c>
      <c r="AJ74" s="179">
        <f>VLOOKUP($H74,'Material impact data'!$E$19:$AM$61,'Material impact data'!AJ$15,0)/VLOOKUP($H74,'Material impact data'!$E$19:$AM$61,4,0)*$I74</f>
        <v>0</v>
      </c>
      <c r="AK74" s="179">
        <f>VLOOKUP($H74,'Material impact data'!$E$19:$AM$61,'Material impact data'!AK$15,0)/VLOOKUP($H74,'Material impact data'!$E$19:$AM$61,4,0)*$I74</f>
        <v>0</v>
      </c>
      <c r="AL74" s="179">
        <f>VLOOKUP($H74,'Material impact data'!$E$19:$AM$61,'Material impact data'!AL$15,0)/VLOOKUP($H74,'Material impact data'!$E$19:$AM$61,4,0)*$I74</f>
        <v>0</v>
      </c>
      <c r="AM74" s="179">
        <f>VLOOKUP($H74,'Material impact data'!$E$19:$AM$61,'Material impact data'!AM$15,0)/VLOOKUP($H74,'Material impact data'!$E$19:$AM$61,4,0)*$I74</f>
        <v>0</v>
      </c>
      <c r="AO74" s="189">
        <f>M74/'Building &amp; Material inputs'!$C$18/'Building &amp; Material inputs'!$C$19</f>
        <v>0</v>
      </c>
      <c r="AP74" s="189">
        <f>N74/'Building &amp; Material inputs'!$C$18/'Building &amp; Material inputs'!$C$19</f>
        <v>0</v>
      </c>
      <c r="AQ74" s="141">
        <f>O74/'Building &amp; Material inputs'!$C$18/'Building &amp; Material inputs'!$C$19</f>
        <v>0</v>
      </c>
      <c r="AR74" s="141">
        <f>P74/'Building &amp; Material inputs'!$C$18/'Building &amp; Material inputs'!$C$19</f>
        <v>0</v>
      </c>
      <c r="AS74" s="188">
        <f>Q74/'Building &amp; Material inputs'!$C$18/'Building &amp; Material inputs'!$C$19</f>
        <v>0</v>
      </c>
      <c r="AT74" s="188">
        <f>R74/'Building &amp; Material inputs'!$C$18/'Building &amp; Material inputs'!$C$19</f>
        <v>0</v>
      </c>
      <c r="AU74" s="189">
        <f>S74/'Building &amp; Material inputs'!$C$18/'Building &amp; Material inputs'!$C$19</f>
        <v>0</v>
      </c>
      <c r="AV74" s="189">
        <f>T74/'Building &amp; Material inputs'!$C$18/'Building &amp; Material inputs'!$C$19</f>
        <v>0</v>
      </c>
      <c r="AW74" s="189">
        <f>U74/'Building &amp; Material inputs'!$C$18/'Building &amp; Material inputs'!$C$19</f>
        <v>0</v>
      </c>
      <c r="AX74" s="189">
        <f>V74/'Building &amp; Material inputs'!$C$18/'Building &amp; Material inputs'!$C$19</f>
        <v>0</v>
      </c>
      <c r="AY74" s="189">
        <f>W74/'Building &amp; Material inputs'!$C$18/'Building &amp; Material inputs'!$C$19</f>
        <v>0</v>
      </c>
      <c r="AZ74" s="189">
        <f>X74/'Building &amp; Material inputs'!$C$18/'Building &amp; Material inputs'!$C$19</f>
        <v>0</v>
      </c>
      <c r="BA74" s="189">
        <f>Y74/'Building &amp; Material inputs'!$C$18/'Building &amp; Material inputs'!$C$19</f>
        <v>0</v>
      </c>
      <c r="BB74" s="141">
        <f>Z74/'Building &amp; Material inputs'!$C$18/'Building &amp; Material inputs'!$C$19</f>
        <v>0</v>
      </c>
      <c r="BC74" s="141">
        <f>AA74/'Building &amp; Material inputs'!$C$18/'Building &amp; Material inputs'!$C$19</f>
        <v>0</v>
      </c>
      <c r="BD74" s="141">
        <f>AB74/'Building &amp; Material inputs'!$C$18/'Building &amp; Material inputs'!$C$19</f>
        <v>0</v>
      </c>
      <c r="BE74" s="141">
        <f>AC74/'Building &amp; Material inputs'!$C$18/'Building &amp; Material inputs'!$C$19</f>
        <v>0</v>
      </c>
      <c r="BF74" s="141">
        <f>AD74/'Building &amp; Material inputs'!$C$18/'Building &amp; Material inputs'!$C$19</f>
        <v>0</v>
      </c>
      <c r="BG74" s="141">
        <f>AE74/'Building &amp; Material inputs'!$C$18/'Building &amp; Material inputs'!$C$19</f>
        <v>0</v>
      </c>
      <c r="BH74" s="141">
        <f>AF74/'Building &amp; Material inputs'!$C$18/'Building &amp; Material inputs'!$C$19</f>
        <v>0</v>
      </c>
      <c r="BI74" s="188">
        <f>AG74/'Building &amp; Material inputs'!$C$18/'Building &amp; Material inputs'!$C$19</f>
        <v>0</v>
      </c>
      <c r="BJ74" s="188">
        <f>AH74/'Building &amp; Material inputs'!$C$18/'Building &amp; Material inputs'!$C$19</f>
        <v>0</v>
      </c>
      <c r="BK74" s="188">
        <f>AI74/'Building &amp; Material inputs'!$C$18/'Building &amp; Material inputs'!$C$19</f>
        <v>0</v>
      </c>
      <c r="BL74" s="188">
        <f>AJ74/'Building &amp; Material inputs'!$C$18/'Building &amp; Material inputs'!$C$19</f>
        <v>0</v>
      </c>
      <c r="BM74" s="188">
        <f>AK74/'Building &amp; Material inputs'!$C$18/'Building &amp; Material inputs'!$C$19</f>
        <v>0</v>
      </c>
      <c r="BN74" s="188">
        <f>AL74/'Building &amp; Material inputs'!$C$18/'Building &amp; Material inputs'!$C$19</f>
        <v>0</v>
      </c>
      <c r="BO74" s="188">
        <f>AM74/'Building &amp; Material inputs'!$C$18/'Building &amp; Material inputs'!$C$19</f>
        <v>0</v>
      </c>
    </row>
    <row r="75" spans="2:67" x14ac:dyDescent="0.25">
      <c r="B75" s="334"/>
      <c r="C75" s="305"/>
      <c r="D75" s="302"/>
      <c r="E75" s="303"/>
      <c r="F75" s="65" t="s">
        <v>150</v>
      </c>
      <c r="G75" s="66" t="s">
        <v>96</v>
      </c>
      <c r="H75" s="7" t="str">
        <f>'Material quantities'!G75</f>
        <v>GLT</v>
      </c>
      <c r="I75" s="38">
        <f>'Material quantities'!O75</f>
        <v>0</v>
      </c>
      <c r="J75" s="68" t="s">
        <v>14</v>
      </c>
      <c r="K75" s="2"/>
      <c r="L75" s="144">
        <f>VLOOKUP($H75,'Material impact data'!$E$19:$AM$61,6,0)/VLOOKUP($H75,'Material impact data'!$E$19:$AM$61,4,0)*$I75</f>
        <v>0</v>
      </c>
      <c r="M75" s="138">
        <f>VLOOKUP($H75,'Material impact data'!$E$19:$AM$61,'Material impact data'!M$15,0)/VLOOKUP($H75,'Material impact data'!$E$19:$AM$61,4,0)*$I75</f>
        <v>0</v>
      </c>
      <c r="N75" s="138">
        <f>VLOOKUP($H75,'Material impact data'!$E$19:$AM$61,'Material impact data'!N$15,0)/VLOOKUP($H75,'Material impact data'!$E$19:$AM$61,4,0)*$I75</f>
        <v>0</v>
      </c>
      <c r="O75" s="180">
        <f>VLOOKUP($H75,'Material impact data'!$E$19:$AM$61,'Material impact data'!O$15,0)/VLOOKUP($H75,'Material impact data'!$E$19:$AM$61,4,0)*$I75</f>
        <v>0</v>
      </c>
      <c r="P75" s="180">
        <f>VLOOKUP($H75,'Material impact data'!$E$19:$AM$61,'Material impact data'!P$15,0)/VLOOKUP($H75,'Material impact data'!$E$19:$AM$61,4,0)*$I75</f>
        <v>0</v>
      </c>
      <c r="Q75" s="179">
        <f>VLOOKUP($H75,'Material impact data'!$E$19:$AM$61,'Material impact data'!Q$15,0)/VLOOKUP($H75,'Material impact data'!$E$19:$AM$61,4,0)*$I75</f>
        <v>0</v>
      </c>
      <c r="R75" s="179">
        <f>VLOOKUP($H75,'Material impact data'!$E$19:$AM$61,'Material impact data'!R$15,0)/VLOOKUP($H75,'Material impact data'!$E$19:$AM$61,4,0)*$I75</f>
        <v>0</v>
      </c>
      <c r="S75" s="138">
        <f>VLOOKUP($H75,'Material impact data'!$E$19:$AM$61,'Material impact data'!S$15,0)/VLOOKUP($H75,'Material impact data'!$E$19:$AM$61,4,0)*$I75</f>
        <v>0</v>
      </c>
      <c r="T75" s="138">
        <f>VLOOKUP($H75,'Material impact data'!$E$19:$AM$61,'Material impact data'!T$15,0)/VLOOKUP($H75,'Material impact data'!$E$19:$AM$61,4,0)*$I75</f>
        <v>0</v>
      </c>
      <c r="U75" s="138">
        <f>VLOOKUP($H75,'Material impact data'!$E$19:$AM$61,'Material impact data'!U$15,0)/VLOOKUP($H75,'Material impact data'!$E$19:$AM$61,4,0)*$I75</f>
        <v>0</v>
      </c>
      <c r="V75" s="138">
        <f>VLOOKUP($H75,'Material impact data'!$E$19:$AM$61,'Material impact data'!V$15,0)/VLOOKUP($H75,'Material impact data'!$E$19:$AM$61,4,0)*$I75</f>
        <v>0</v>
      </c>
      <c r="W75" s="138">
        <f>VLOOKUP($H75,'Material impact data'!$E$19:$AM$61,'Material impact data'!W$15,0)/VLOOKUP($H75,'Material impact data'!$E$19:$AM$61,4,0)*$I75</f>
        <v>0</v>
      </c>
      <c r="X75" s="138">
        <f>VLOOKUP($H75,'Material impact data'!$E$19:$AM$61,'Material impact data'!X$15,0)/VLOOKUP($H75,'Material impact data'!$E$19:$AM$61,4,0)*$I75</f>
        <v>0</v>
      </c>
      <c r="Y75" s="138">
        <f>VLOOKUP($H75,'Material impact data'!$E$19:$AM$61,'Material impact data'!Y$15,0)/VLOOKUP($H75,'Material impact data'!$E$19:$AM$61,4,0)*$I75</f>
        <v>0</v>
      </c>
      <c r="Z75" s="180">
        <f>VLOOKUP($H75,'Material impact data'!$E$19:$AM$61,'Material impact data'!Z$15,0)/VLOOKUP($H75,'Material impact data'!$E$19:$AM$61,4,0)*$I75</f>
        <v>0</v>
      </c>
      <c r="AA75" s="180">
        <f>VLOOKUP($H75,'Material impact data'!$E$19:$AM$61,'Material impact data'!AA$15,0)/VLOOKUP($H75,'Material impact data'!$E$19:$AM$61,4,0)*$I75</f>
        <v>0</v>
      </c>
      <c r="AB75" s="180">
        <f>VLOOKUP($H75,'Material impact data'!$E$19:$AM$61,'Material impact data'!AB$15,0)/VLOOKUP($H75,'Material impact data'!$E$19:$AM$61,4,0)*$I75</f>
        <v>0</v>
      </c>
      <c r="AC75" s="180">
        <f>VLOOKUP($H75,'Material impact data'!$E$19:$AM$61,'Material impact data'!AC$15,0)/VLOOKUP($H75,'Material impact data'!$E$19:$AM$61,4,0)*$I75</f>
        <v>0</v>
      </c>
      <c r="AD75" s="180">
        <f>VLOOKUP($H75,'Material impact data'!$E$19:$AM$61,'Material impact data'!AD$15,0)/VLOOKUP($H75,'Material impact data'!$E$19:$AM$61,4,0)*$I75</f>
        <v>0</v>
      </c>
      <c r="AE75" s="180">
        <f>VLOOKUP($H75,'Material impact data'!$E$19:$AM$61,'Material impact data'!AE$15,0)/VLOOKUP($H75,'Material impact data'!$E$19:$AM$61,4,0)*$I75</f>
        <v>0</v>
      </c>
      <c r="AF75" s="180">
        <f>VLOOKUP($H75,'Material impact data'!$E$19:$AM$61,'Material impact data'!AF$15,0)/VLOOKUP($H75,'Material impact data'!$E$19:$AM$61,4,0)*$I75</f>
        <v>0</v>
      </c>
      <c r="AG75" s="179">
        <f>VLOOKUP($H75,'Material impact data'!$E$19:$AM$61,'Material impact data'!AG$15,0)/VLOOKUP($H75,'Material impact data'!$E$19:$AM$61,4,0)*$I75</f>
        <v>0</v>
      </c>
      <c r="AH75" s="179">
        <f>VLOOKUP($H75,'Material impact data'!$E$19:$AM$61,'Material impact data'!AH$15,0)/VLOOKUP($H75,'Material impact data'!$E$19:$AM$61,4,0)*$I75</f>
        <v>0</v>
      </c>
      <c r="AI75" s="179">
        <f>VLOOKUP($H75,'Material impact data'!$E$19:$AM$61,'Material impact data'!AI$15,0)/VLOOKUP($H75,'Material impact data'!$E$19:$AM$61,4,0)*$I75</f>
        <v>0</v>
      </c>
      <c r="AJ75" s="179">
        <f>VLOOKUP($H75,'Material impact data'!$E$19:$AM$61,'Material impact data'!AJ$15,0)/VLOOKUP($H75,'Material impact data'!$E$19:$AM$61,4,0)*$I75</f>
        <v>0</v>
      </c>
      <c r="AK75" s="179">
        <f>VLOOKUP($H75,'Material impact data'!$E$19:$AM$61,'Material impact data'!AK$15,0)/VLOOKUP($H75,'Material impact data'!$E$19:$AM$61,4,0)*$I75</f>
        <v>0</v>
      </c>
      <c r="AL75" s="179">
        <f>VLOOKUP($H75,'Material impact data'!$E$19:$AM$61,'Material impact data'!AL$15,0)/VLOOKUP($H75,'Material impact data'!$E$19:$AM$61,4,0)*$I75</f>
        <v>0</v>
      </c>
      <c r="AM75" s="179">
        <f>VLOOKUP($H75,'Material impact data'!$E$19:$AM$61,'Material impact data'!AM$15,0)/VLOOKUP($H75,'Material impact data'!$E$19:$AM$61,4,0)*$I75</f>
        <v>0</v>
      </c>
      <c r="AO75" s="189">
        <f>M75/'Building &amp; Material inputs'!$C$18/'Building &amp; Material inputs'!$C$19</f>
        <v>0</v>
      </c>
      <c r="AP75" s="189">
        <f>N75/'Building &amp; Material inputs'!$C$18/'Building &amp; Material inputs'!$C$19</f>
        <v>0</v>
      </c>
      <c r="AQ75" s="141">
        <f>O75/'Building &amp; Material inputs'!$C$18/'Building &amp; Material inputs'!$C$19</f>
        <v>0</v>
      </c>
      <c r="AR75" s="141">
        <f>P75/'Building &amp; Material inputs'!$C$18/'Building &amp; Material inputs'!$C$19</f>
        <v>0</v>
      </c>
      <c r="AS75" s="188">
        <f>Q75/'Building &amp; Material inputs'!$C$18/'Building &amp; Material inputs'!$C$19</f>
        <v>0</v>
      </c>
      <c r="AT75" s="188">
        <f>R75/'Building &amp; Material inputs'!$C$18/'Building &amp; Material inputs'!$C$19</f>
        <v>0</v>
      </c>
      <c r="AU75" s="189">
        <f>S75/'Building &amp; Material inputs'!$C$18/'Building &amp; Material inputs'!$C$19</f>
        <v>0</v>
      </c>
      <c r="AV75" s="189">
        <f>T75/'Building &amp; Material inputs'!$C$18/'Building &amp; Material inputs'!$C$19</f>
        <v>0</v>
      </c>
      <c r="AW75" s="189">
        <f>U75/'Building &amp; Material inputs'!$C$18/'Building &amp; Material inputs'!$C$19</f>
        <v>0</v>
      </c>
      <c r="AX75" s="189">
        <f>V75/'Building &amp; Material inputs'!$C$18/'Building &amp; Material inputs'!$C$19</f>
        <v>0</v>
      </c>
      <c r="AY75" s="189">
        <f>W75/'Building &amp; Material inputs'!$C$18/'Building &amp; Material inputs'!$C$19</f>
        <v>0</v>
      </c>
      <c r="AZ75" s="189">
        <f>X75/'Building &amp; Material inputs'!$C$18/'Building &amp; Material inputs'!$C$19</f>
        <v>0</v>
      </c>
      <c r="BA75" s="189">
        <f>Y75/'Building &amp; Material inputs'!$C$18/'Building &amp; Material inputs'!$C$19</f>
        <v>0</v>
      </c>
      <c r="BB75" s="141">
        <f>Z75/'Building &amp; Material inputs'!$C$18/'Building &amp; Material inputs'!$C$19</f>
        <v>0</v>
      </c>
      <c r="BC75" s="141">
        <f>AA75/'Building &amp; Material inputs'!$C$18/'Building &amp; Material inputs'!$C$19</f>
        <v>0</v>
      </c>
      <c r="BD75" s="141">
        <f>AB75/'Building &amp; Material inputs'!$C$18/'Building &amp; Material inputs'!$C$19</f>
        <v>0</v>
      </c>
      <c r="BE75" s="141">
        <f>AC75/'Building &amp; Material inputs'!$C$18/'Building &amp; Material inputs'!$C$19</f>
        <v>0</v>
      </c>
      <c r="BF75" s="141">
        <f>AD75/'Building &amp; Material inputs'!$C$18/'Building &amp; Material inputs'!$C$19</f>
        <v>0</v>
      </c>
      <c r="BG75" s="141">
        <f>AE75/'Building &amp; Material inputs'!$C$18/'Building &amp; Material inputs'!$C$19</f>
        <v>0</v>
      </c>
      <c r="BH75" s="141">
        <f>AF75/'Building &amp; Material inputs'!$C$18/'Building &amp; Material inputs'!$C$19</f>
        <v>0</v>
      </c>
      <c r="BI75" s="188">
        <f>AG75/'Building &amp; Material inputs'!$C$18/'Building &amp; Material inputs'!$C$19</f>
        <v>0</v>
      </c>
      <c r="BJ75" s="188">
        <f>AH75/'Building &amp; Material inputs'!$C$18/'Building &amp; Material inputs'!$C$19</f>
        <v>0</v>
      </c>
      <c r="BK75" s="188">
        <f>AI75/'Building &amp; Material inputs'!$C$18/'Building &amp; Material inputs'!$C$19</f>
        <v>0</v>
      </c>
      <c r="BL75" s="188">
        <f>AJ75/'Building &amp; Material inputs'!$C$18/'Building &amp; Material inputs'!$C$19</f>
        <v>0</v>
      </c>
      <c r="BM75" s="188">
        <f>AK75/'Building &amp; Material inputs'!$C$18/'Building &amp; Material inputs'!$C$19</f>
        <v>0</v>
      </c>
      <c r="BN75" s="188">
        <f>AL75/'Building &amp; Material inputs'!$C$18/'Building &amp; Material inputs'!$C$19</f>
        <v>0</v>
      </c>
      <c r="BO75" s="188">
        <f>AM75/'Building &amp; Material inputs'!$C$18/'Building &amp; Material inputs'!$C$19</f>
        <v>0</v>
      </c>
    </row>
    <row r="76" spans="2:67" x14ac:dyDescent="0.25">
      <c r="B76" s="334"/>
      <c r="C76" s="305"/>
      <c r="D76" s="302"/>
      <c r="E76" s="299" t="s">
        <v>151</v>
      </c>
      <c r="F76" s="59" t="s">
        <v>152</v>
      </c>
      <c r="G76" s="60" t="s">
        <v>97</v>
      </c>
      <c r="H76" s="7" t="str">
        <f>'Material quantities'!G76</f>
        <v>MOR</v>
      </c>
      <c r="I76" s="38">
        <f>'Material quantities'!O76</f>
        <v>0</v>
      </c>
      <c r="J76" s="62" t="s">
        <v>534</v>
      </c>
      <c r="K76" s="2"/>
      <c r="L76" s="144">
        <f>VLOOKUP($H76,'Material impact data'!$E$19:$AM$61,6,0)/VLOOKUP($H76,'Material impact data'!$E$19:$AM$61,4,0)*$I76</f>
        <v>0</v>
      </c>
      <c r="M76" s="138">
        <f>VLOOKUP($H76,'Material impact data'!$E$19:$AM$61,'Material impact data'!M$15,0)/VLOOKUP($H76,'Material impact data'!$E$19:$AM$61,4,0)*$I76</f>
        <v>0</v>
      </c>
      <c r="N76" s="138">
        <f>VLOOKUP($H76,'Material impact data'!$E$19:$AM$61,'Material impact data'!N$15,0)/VLOOKUP($H76,'Material impact data'!$E$19:$AM$61,4,0)*$I76</f>
        <v>0</v>
      </c>
      <c r="O76" s="180">
        <f>VLOOKUP($H76,'Material impact data'!$E$19:$AM$61,'Material impact data'!O$15,0)/VLOOKUP($H76,'Material impact data'!$E$19:$AM$61,4,0)*$I76</f>
        <v>0</v>
      </c>
      <c r="P76" s="180">
        <f>VLOOKUP($H76,'Material impact data'!$E$19:$AM$61,'Material impact data'!P$15,0)/VLOOKUP($H76,'Material impact data'!$E$19:$AM$61,4,0)*$I76</f>
        <v>0</v>
      </c>
      <c r="Q76" s="179">
        <f>VLOOKUP($H76,'Material impact data'!$E$19:$AM$61,'Material impact data'!Q$15,0)/VLOOKUP($H76,'Material impact data'!$E$19:$AM$61,4,0)*$I76</f>
        <v>0</v>
      </c>
      <c r="R76" s="179">
        <f>VLOOKUP($H76,'Material impact data'!$E$19:$AM$61,'Material impact data'!R$15,0)/VLOOKUP($H76,'Material impact data'!$E$19:$AM$61,4,0)*$I76</f>
        <v>0</v>
      </c>
      <c r="S76" s="138">
        <f>VLOOKUP($H76,'Material impact data'!$E$19:$AM$61,'Material impact data'!S$15,0)/VLOOKUP($H76,'Material impact data'!$E$19:$AM$61,4,0)*$I76</f>
        <v>0</v>
      </c>
      <c r="T76" s="138">
        <f>VLOOKUP($H76,'Material impact data'!$E$19:$AM$61,'Material impact data'!T$15,0)/VLOOKUP($H76,'Material impact data'!$E$19:$AM$61,4,0)*$I76</f>
        <v>0</v>
      </c>
      <c r="U76" s="138">
        <f>VLOOKUP($H76,'Material impact data'!$E$19:$AM$61,'Material impact data'!U$15,0)/VLOOKUP($H76,'Material impact data'!$E$19:$AM$61,4,0)*$I76</f>
        <v>0</v>
      </c>
      <c r="V76" s="138">
        <f>VLOOKUP($H76,'Material impact data'!$E$19:$AM$61,'Material impact data'!V$15,0)/VLOOKUP($H76,'Material impact data'!$E$19:$AM$61,4,0)*$I76</f>
        <v>0</v>
      </c>
      <c r="W76" s="138">
        <f>VLOOKUP($H76,'Material impact data'!$E$19:$AM$61,'Material impact data'!W$15,0)/VLOOKUP($H76,'Material impact data'!$E$19:$AM$61,4,0)*$I76</f>
        <v>0</v>
      </c>
      <c r="X76" s="138">
        <f>VLOOKUP($H76,'Material impact data'!$E$19:$AM$61,'Material impact data'!X$15,0)/VLOOKUP($H76,'Material impact data'!$E$19:$AM$61,4,0)*$I76</f>
        <v>0</v>
      </c>
      <c r="Y76" s="138">
        <f>VLOOKUP($H76,'Material impact data'!$E$19:$AM$61,'Material impact data'!Y$15,0)/VLOOKUP($H76,'Material impact data'!$E$19:$AM$61,4,0)*$I76</f>
        <v>0</v>
      </c>
      <c r="Z76" s="180">
        <f>VLOOKUP($H76,'Material impact data'!$E$19:$AM$61,'Material impact data'!Z$15,0)/VLOOKUP($H76,'Material impact data'!$E$19:$AM$61,4,0)*$I76</f>
        <v>0</v>
      </c>
      <c r="AA76" s="180">
        <f>VLOOKUP($H76,'Material impact data'!$E$19:$AM$61,'Material impact data'!AA$15,0)/VLOOKUP($H76,'Material impact data'!$E$19:$AM$61,4,0)*$I76</f>
        <v>0</v>
      </c>
      <c r="AB76" s="180">
        <f>VLOOKUP($H76,'Material impact data'!$E$19:$AM$61,'Material impact data'!AB$15,0)/VLOOKUP($H76,'Material impact data'!$E$19:$AM$61,4,0)*$I76</f>
        <v>0</v>
      </c>
      <c r="AC76" s="180">
        <f>VLOOKUP($H76,'Material impact data'!$E$19:$AM$61,'Material impact data'!AC$15,0)/VLOOKUP($H76,'Material impact data'!$E$19:$AM$61,4,0)*$I76</f>
        <v>0</v>
      </c>
      <c r="AD76" s="180">
        <f>VLOOKUP($H76,'Material impact data'!$E$19:$AM$61,'Material impact data'!AD$15,0)/VLOOKUP($H76,'Material impact data'!$E$19:$AM$61,4,0)*$I76</f>
        <v>0</v>
      </c>
      <c r="AE76" s="180">
        <f>VLOOKUP($H76,'Material impact data'!$E$19:$AM$61,'Material impact data'!AE$15,0)/VLOOKUP($H76,'Material impact data'!$E$19:$AM$61,4,0)*$I76</f>
        <v>0</v>
      </c>
      <c r="AF76" s="180">
        <f>VLOOKUP($H76,'Material impact data'!$E$19:$AM$61,'Material impact data'!AF$15,0)/VLOOKUP($H76,'Material impact data'!$E$19:$AM$61,4,0)*$I76</f>
        <v>0</v>
      </c>
      <c r="AG76" s="179">
        <f>VLOOKUP($H76,'Material impact data'!$E$19:$AM$61,'Material impact data'!AG$15,0)/VLOOKUP($H76,'Material impact data'!$E$19:$AM$61,4,0)*$I76</f>
        <v>0</v>
      </c>
      <c r="AH76" s="179">
        <f>VLOOKUP($H76,'Material impact data'!$E$19:$AM$61,'Material impact data'!AH$15,0)/VLOOKUP($H76,'Material impact data'!$E$19:$AM$61,4,0)*$I76</f>
        <v>0</v>
      </c>
      <c r="AI76" s="179">
        <f>VLOOKUP($H76,'Material impact data'!$E$19:$AM$61,'Material impact data'!AI$15,0)/VLOOKUP($H76,'Material impact data'!$E$19:$AM$61,4,0)*$I76</f>
        <v>0</v>
      </c>
      <c r="AJ76" s="179">
        <f>VLOOKUP($H76,'Material impact data'!$E$19:$AM$61,'Material impact data'!AJ$15,0)/VLOOKUP($H76,'Material impact data'!$E$19:$AM$61,4,0)*$I76</f>
        <v>0</v>
      </c>
      <c r="AK76" s="179">
        <f>VLOOKUP($H76,'Material impact data'!$E$19:$AM$61,'Material impact data'!AK$15,0)/VLOOKUP($H76,'Material impact data'!$E$19:$AM$61,4,0)*$I76</f>
        <v>0</v>
      </c>
      <c r="AL76" s="179">
        <f>VLOOKUP($H76,'Material impact data'!$E$19:$AM$61,'Material impact data'!AL$15,0)/VLOOKUP($H76,'Material impact data'!$E$19:$AM$61,4,0)*$I76</f>
        <v>0</v>
      </c>
      <c r="AM76" s="179">
        <f>VLOOKUP($H76,'Material impact data'!$E$19:$AM$61,'Material impact data'!AM$15,0)/VLOOKUP($H76,'Material impact data'!$E$19:$AM$61,4,0)*$I76</f>
        <v>0</v>
      </c>
      <c r="AO76" s="189">
        <f>M76/'Building &amp; Material inputs'!$C$18/'Building &amp; Material inputs'!$C$19</f>
        <v>0</v>
      </c>
      <c r="AP76" s="189">
        <f>N76/'Building &amp; Material inputs'!$C$18/'Building &amp; Material inputs'!$C$19</f>
        <v>0</v>
      </c>
      <c r="AQ76" s="141">
        <f>O76/'Building &amp; Material inputs'!$C$18/'Building &amp; Material inputs'!$C$19</f>
        <v>0</v>
      </c>
      <c r="AR76" s="141">
        <f>P76/'Building &amp; Material inputs'!$C$18/'Building &amp; Material inputs'!$C$19</f>
        <v>0</v>
      </c>
      <c r="AS76" s="188">
        <f>Q76/'Building &amp; Material inputs'!$C$18/'Building &amp; Material inputs'!$C$19</f>
        <v>0</v>
      </c>
      <c r="AT76" s="188">
        <f>R76/'Building &amp; Material inputs'!$C$18/'Building &amp; Material inputs'!$C$19</f>
        <v>0</v>
      </c>
      <c r="AU76" s="189">
        <f>S76/'Building &amp; Material inputs'!$C$18/'Building &amp; Material inputs'!$C$19</f>
        <v>0</v>
      </c>
      <c r="AV76" s="189">
        <f>T76/'Building &amp; Material inputs'!$C$18/'Building &amp; Material inputs'!$C$19</f>
        <v>0</v>
      </c>
      <c r="AW76" s="189">
        <f>U76/'Building &amp; Material inputs'!$C$18/'Building &amp; Material inputs'!$C$19</f>
        <v>0</v>
      </c>
      <c r="AX76" s="189">
        <f>V76/'Building &amp; Material inputs'!$C$18/'Building &amp; Material inputs'!$C$19</f>
        <v>0</v>
      </c>
      <c r="AY76" s="189">
        <f>W76/'Building &amp; Material inputs'!$C$18/'Building &amp; Material inputs'!$C$19</f>
        <v>0</v>
      </c>
      <c r="AZ76" s="189">
        <f>X76/'Building &amp; Material inputs'!$C$18/'Building &amp; Material inputs'!$C$19</f>
        <v>0</v>
      </c>
      <c r="BA76" s="189">
        <f>Y76/'Building &amp; Material inputs'!$C$18/'Building &amp; Material inputs'!$C$19</f>
        <v>0</v>
      </c>
      <c r="BB76" s="141">
        <f>Z76/'Building &amp; Material inputs'!$C$18/'Building &amp; Material inputs'!$C$19</f>
        <v>0</v>
      </c>
      <c r="BC76" s="141">
        <f>AA76/'Building &amp; Material inputs'!$C$18/'Building &amp; Material inputs'!$C$19</f>
        <v>0</v>
      </c>
      <c r="BD76" s="141">
        <f>AB76/'Building &amp; Material inputs'!$C$18/'Building &amp; Material inputs'!$C$19</f>
        <v>0</v>
      </c>
      <c r="BE76" s="141">
        <f>AC76/'Building &amp; Material inputs'!$C$18/'Building &amp; Material inputs'!$C$19</f>
        <v>0</v>
      </c>
      <c r="BF76" s="141">
        <f>AD76/'Building &amp; Material inputs'!$C$18/'Building &amp; Material inputs'!$C$19</f>
        <v>0</v>
      </c>
      <c r="BG76" s="141">
        <f>AE76/'Building &amp; Material inputs'!$C$18/'Building &amp; Material inputs'!$C$19</f>
        <v>0</v>
      </c>
      <c r="BH76" s="141">
        <f>AF76/'Building &amp; Material inputs'!$C$18/'Building &amp; Material inputs'!$C$19</f>
        <v>0</v>
      </c>
      <c r="BI76" s="188">
        <f>AG76/'Building &amp; Material inputs'!$C$18/'Building &amp; Material inputs'!$C$19</f>
        <v>0</v>
      </c>
      <c r="BJ76" s="188">
        <f>AH76/'Building &amp; Material inputs'!$C$18/'Building &amp; Material inputs'!$C$19</f>
        <v>0</v>
      </c>
      <c r="BK76" s="188">
        <f>AI76/'Building &amp; Material inputs'!$C$18/'Building &amp; Material inputs'!$C$19</f>
        <v>0</v>
      </c>
      <c r="BL76" s="188">
        <f>AJ76/'Building &amp; Material inputs'!$C$18/'Building &amp; Material inputs'!$C$19</f>
        <v>0</v>
      </c>
      <c r="BM76" s="188">
        <f>AK76/'Building &amp; Material inputs'!$C$18/'Building &amp; Material inputs'!$C$19</f>
        <v>0</v>
      </c>
      <c r="BN76" s="188">
        <f>AL76/'Building &amp; Material inputs'!$C$18/'Building &amp; Material inputs'!$C$19</f>
        <v>0</v>
      </c>
      <c r="BO76" s="188">
        <f>AM76/'Building &amp; Material inputs'!$C$18/'Building &amp; Material inputs'!$C$19</f>
        <v>0</v>
      </c>
    </row>
    <row r="77" spans="2:67" x14ac:dyDescent="0.25">
      <c r="B77" s="334"/>
      <c r="C77" s="305"/>
      <c r="D77" s="302"/>
      <c r="E77" s="299"/>
      <c r="F77" s="59" t="s">
        <v>153</v>
      </c>
      <c r="G77" s="60" t="s">
        <v>99</v>
      </c>
      <c r="H77" s="7" t="str">
        <f>'Material quantities'!G77</f>
        <v>POLY</v>
      </c>
      <c r="I77" s="38">
        <f>'Material quantities'!O77</f>
        <v>0</v>
      </c>
      <c r="J77" s="62" t="s">
        <v>14</v>
      </c>
      <c r="K77" s="2"/>
      <c r="L77" s="144">
        <f>VLOOKUP($H77,'Material impact data'!$E$19:$AM$61,6,0)/VLOOKUP($H77,'Material impact data'!$E$19:$AM$61,4,0)*$I77</f>
        <v>0</v>
      </c>
      <c r="M77" s="138">
        <f>VLOOKUP($H77,'Material impact data'!$E$19:$AM$61,'Material impact data'!M$15,0)/VLOOKUP($H77,'Material impact data'!$E$19:$AM$61,4,0)*$I77</f>
        <v>0</v>
      </c>
      <c r="N77" s="138">
        <f>VLOOKUP($H77,'Material impact data'!$E$19:$AM$61,'Material impact data'!N$15,0)/VLOOKUP($H77,'Material impact data'!$E$19:$AM$61,4,0)*$I77</f>
        <v>0</v>
      </c>
      <c r="O77" s="180">
        <f>VLOOKUP($H77,'Material impact data'!$E$19:$AM$61,'Material impact data'!O$15,0)/VLOOKUP($H77,'Material impact data'!$E$19:$AM$61,4,0)*$I77</f>
        <v>0</v>
      </c>
      <c r="P77" s="180">
        <f>VLOOKUP($H77,'Material impact data'!$E$19:$AM$61,'Material impact data'!P$15,0)/VLOOKUP($H77,'Material impact data'!$E$19:$AM$61,4,0)*$I77</f>
        <v>0</v>
      </c>
      <c r="Q77" s="179">
        <f>VLOOKUP($H77,'Material impact data'!$E$19:$AM$61,'Material impact data'!Q$15,0)/VLOOKUP($H77,'Material impact data'!$E$19:$AM$61,4,0)*$I77</f>
        <v>0</v>
      </c>
      <c r="R77" s="179">
        <f>VLOOKUP($H77,'Material impact data'!$E$19:$AM$61,'Material impact data'!R$15,0)/VLOOKUP($H77,'Material impact data'!$E$19:$AM$61,4,0)*$I77</f>
        <v>0</v>
      </c>
      <c r="S77" s="138">
        <f>VLOOKUP($H77,'Material impact data'!$E$19:$AM$61,'Material impact data'!S$15,0)/VLOOKUP($H77,'Material impact data'!$E$19:$AM$61,4,0)*$I77</f>
        <v>0</v>
      </c>
      <c r="T77" s="138">
        <f>VLOOKUP($H77,'Material impact data'!$E$19:$AM$61,'Material impact data'!T$15,0)/VLOOKUP($H77,'Material impact data'!$E$19:$AM$61,4,0)*$I77</f>
        <v>0</v>
      </c>
      <c r="U77" s="138">
        <f>VLOOKUP($H77,'Material impact data'!$E$19:$AM$61,'Material impact data'!U$15,0)/VLOOKUP($H77,'Material impact data'!$E$19:$AM$61,4,0)*$I77</f>
        <v>0</v>
      </c>
      <c r="V77" s="138">
        <f>VLOOKUP($H77,'Material impact data'!$E$19:$AM$61,'Material impact data'!V$15,0)/VLOOKUP($H77,'Material impact data'!$E$19:$AM$61,4,0)*$I77</f>
        <v>0</v>
      </c>
      <c r="W77" s="138">
        <f>VLOOKUP($H77,'Material impact data'!$E$19:$AM$61,'Material impact data'!W$15,0)/VLOOKUP($H77,'Material impact data'!$E$19:$AM$61,4,0)*$I77</f>
        <v>0</v>
      </c>
      <c r="X77" s="138">
        <f>VLOOKUP($H77,'Material impact data'!$E$19:$AM$61,'Material impact data'!X$15,0)/VLOOKUP($H77,'Material impact data'!$E$19:$AM$61,4,0)*$I77</f>
        <v>0</v>
      </c>
      <c r="Y77" s="138">
        <f>VLOOKUP($H77,'Material impact data'!$E$19:$AM$61,'Material impact data'!Y$15,0)/VLOOKUP($H77,'Material impact data'!$E$19:$AM$61,4,0)*$I77</f>
        <v>0</v>
      </c>
      <c r="Z77" s="180">
        <f>VLOOKUP($H77,'Material impact data'!$E$19:$AM$61,'Material impact data'!Z$15,0)/VLOOKUP($H77,'Material impact data'!$E$19:$AM$61,4,0)*$I77</f>
        <v>0</v>
      </c>
      <c r="AA77" s="180">
        <f>VLOOKUP($H77,'Material impact data'!$E$19:$AM$61,'Material impact data'!AA$15,0)/VLOOKUP($H77,'Material impact data'!$E$19:$AM$61,4,0)*$I77</f>
        <v>0</v>
      </c>
      <c r="AB77" s="180">
        <f>VLOOKUP($H77,'Material impact data'!$E$19:$AM$61,'Material impact data'!AB$15,0)/VLOOKUP($H77,'Material impact data'!$E$19:$AM$61,4,0)*$I77</f>
        <v>0</v>
      </c>
      <c r="AC77" s="180">
        <f>VLOOKUP($H77,'Material impact data'!$E$19:$AM$61,'Material impact data'!AC$15,0)/VLOOKUP($H77,'Material impact data'!$E$19:$AM$61,4,0)*$I77</f>
        <v>0</v>
      </c>
      <c r="AD77" s="180">
        <f>VLOOKUP($H77,'Material impact data'!$E$19:$AM$61,'Material impact data'!AD$15,0)/VLOOKUP($H77,'Material impact data'!$E$19:$AM$61,4,0)*$I77</f>
        <v>0</v>
      </c>
      <c r="AE77" s="180">
        <f>VLOOKUP($H77,'Material impact data'!$E$19:$AM$61,'Material impact data'!AE$15,0)/VLOOKUP($H77,'Material impact data'!$E$19:$AM$61,4,0)*$I77</f>
        <v>0</v>
      </c>
      <c r="AF77" s="180">
        <f>VLOOKUP($H77,'Material impact data'!$E$19:$AM$61,'Material impact data'!AF$15,0)/VLOOKUP($H77,'Material impact data'!$E$19:$AM$61,4,0)*$I77</f>
        <v>0</v>
      </c>
      <c r="AG77" s="179">
        <f>VLOOKUP($H77,'Material impact data'!$E$19:$AM$61,'Material impact data'!AG$15,0)/VLOOKUP($H77,'Material impact data'!$E$19:$AM$61,4,0)*$I77</f>
        <v>0</v>
      </c>
      <c r="AH77" s="179">
        <f>VLOOKUP($H77,'Material impact data'!$E$19:$AM$61,'Material impact data'!AH$15,0)/VLOOKUP($H77,'Material impact data'!$E$19:$AM$61,4,0)*$I77</f>
        <v>0</v>
      </c>
      <c r="AI77" s="179">
        <f>VLOOKUP($H77,'Material impact data'!$E$19:$AM$61,'Material impact data'!AI$15,0)/VLOOKUP($H77,'Material impact data'!$E$19:$AM$61,4,0)*$I77</f>
        <v>0</v>
      </c>
      <c r="AJ77" s="179">
        <f>VLOOKUP($H77,'Material impact data'!$E$19:$AM$61,'Material impact data'!AJ$15,0)/VLOOKUP($H77,'Material impact data'!$E$19:$AM$61,4,0)*$I77</f>
        <v>0</v>
      </c>
      <c r="AK77" s="179">
        <f>VLOOKUP($H77,'Material impact data'!$E$19:$AM$61,'Material impact data'!AK$15,0)/VLOOKUP($H77,'Material impact data'!$E$19:$AM$61,4,0)*$I77</f>
        <v>0</v>
      </c>
      <c r="AL77" s="179">
        <f>VLOOKUP($H77,'Material impact data'!$E$19:$AM$61,'Material impact data'!AL$15,0)/VLOOKUP($H77,'Material impact data'!$E$19:$AM$61,4,0)*$I77</f>
        <v>0</v>
      </c>
      <c r="AM77" s="179">
        <f>VLOOKUP($H77,'Material impact data'!$E$19:$AM$61,'Material impact data'!AM$15,0)/VLOOKUP($H77,'Material impact data'!$E$19:$AM$61,4,0)*$I77</f>
        <v>0</v>
      </c>
      <c r="AO77" s="189">
        <f>M77/'Building &amp; Material inputs'!$C$18/'Building &amp; Material inputs'!$C$19</f>
        <v>0</v>
      </c>
      <c r="AP77" s="189">
        <f>N77/'Building &amp; Material inputs'!$C$18/'Building &amp; Material inputs'!$C$19</f>
        <v>0</v>
      </c>
      <c r="AQ77" s="141">
        <f>O77/'Building &amp; Material inputs'!$C$18/'Building &amp; Material inputs'!$C$19</f>
        <v>0</v>
      </c>
      <c r="AR77" s="141">
        <f>P77/'Building &amp; Material inputs'!$C$18/'Building &amp; Material inputs'!$C$19</f>
        <v>0</v>
      </c>
      <c r="AS77" s="188">
        <f>Q77/'Building &amp; Material inputs'!$C$18/'Building &amp; Material inputs'!$C$19</f>
        <v>0</v>
      </c>
      <c r="AT77" s="188">
        <f>R77/'Building &amp; Material inputs'!$C$18/'Building &amp; Material inputs'!$C$19</f>
        <v>0</v>
      </c>
      <c r="AU77" s="189">
        <f>S77/'Building &amp; Material inputs'!$C$18/'Building &amp; Material inputs'!$C$19</f>
        <v>0</v>
      </c>
      <c r="AV77" s="189">
        <f>T77/'Building &amp; Material inputs'!$C$18/'Building &amp; Material inputs'!$C$19</f>
        <v>0</v>
      </c>
      <c r="AW77" s="189">
        <f>U77/'Building &amp; Material inputs'!$C$18/'Building &amp; Material inputs'!$C$19</f>
        <v>0</v>
      </c>
      <c r="AX77" s="189">
        <f>V77/'Building &amp; Material inputs'!$C$18/'Building &amp; Material inputs'!$C$19</f>
        <v>0</v>
      </c>
      <c r="AY77" s="189">
        <f>W77/'Building &amp; Material inputs'!$C$18/'Building &amp; Material inputs'!$C$19</f>
        <v>0</v>
      </c>
      <c r="AZ77" s="189">
        <f>X77/'Building &amp; Material inputs'!$C$18/'Building &amp; Material inputs'!$C$19</f>
        <v>0</v>
      </c>
      <c r="BA77" s="189">
        <f>Y77/'Building &amp; Material inputs'!$C$18/'Building &amp; Material inputs'!$C$19</f>
        <v>0</v>
      </c>
      <c r="BB77" s="141">
        <f>Z77/'Building &amp; Material inputs'!$C$18/'Building &amp; Material inputs'!$C$19</f>
        <v>0</v>
      </c>
      <c r="BC77" s="141">
        <f>AA77/'Building &amp; Material inputs'!$C$18/'Building &amp; Material inputs'!$C$19</f>
        <v>0</v>
      </c>
      <c r="BD77" s="141">
        <f>AB77/'Building &amp; Material inputs'!$C$18/'Building &amp; Material inputs'!$C$19</f>
        <v>0</v>
      </c>
      <c r="BE77" s="141">
        <f>AC77/'Building &amp; Material inputs'!$C$18/'Building &amp; Material inputs'!$C$19</f>
        <v>0</v>
      </c>
      <c r="BF77" s="141">
        <f>AD77/'Building &amp; Material inputs'!$C$18/'Building &amp; Material inputs'!$C$19</f>
        <v>0</v>
      </c>
      <c r="BG77" s="141">
        <f>AE77/'Building &amp; Material inputs'!$C$18/'Building &amp; Material inputs'!$C$19</f>
        <v>0</v>
      </c>
      <c r="BH77" s="141">
        <f>AF77/'Building &amp; Material inputs'!$C$18/'Building &amp; Material inputs'!$C$19</f>
        <v>0</v>
      </c>
      <c r="BI77" s="188">
        <f>AG77/'Building &amp; Material inputs'!$C$18/'Building &amp; Material inputs'!$C$19</f>
        <v>0</v>
      </c>
      <c r="BJ77" s="188">
        <f>AH77/'Building &amp; Material inputs'!$C$18/'Building &amp; Material inputs'!$C$19</f>
        <v>0</v>
      </c>
      <c r="BK77" s="188">
        <f>AI77/'Building &amp; Material inputs'!$C$18/'Building &amp; Material inputs'!$C$19</f>
        <v>0</v>
      </c>
      <c r="BL77" s="188">
        <f>AJ77/'Building &amp; Material inputs'!$C$18/'Building &amp; Material inputs'!$C$19</f>
        <v>0</v>
      </c>
      <c r="BM77" s="188">
        <f>AK77/'Building &amp; Material inputs'!$C$18/'Building &amp; Material inputs'!$C$19</f>
        <v>0</v>
      </c>
      <c r="BN77" s="188">
        <f>AL77/'Building &amp; Material inputs'!$C$18/'Building &amp; Material inputs'!$C$19</f>
        <v>0</v>
      </c>
      <c r="BO77" s="188">
        <f>AM77/'Building &amp; Material inputs'!$C$18/'Building &amp; Material inputs'!$C$19</f>
        <v>0</v>
      </c>
    </row>
    <row r="78" spans="2:67" x14ac:dyDescent="0.25">
      <c r="B78" s="334"/>
      <c r="C78" s="305"/>
      <c r="D78" s="302" t="s">
        <v>91</v>
      </c>
      <c r="E78" s="303" t="s">
        <v>154</v>
      </c>
      <c r="F78" s="65" t="s">
        <v>172</v>
      </c>
      <c r="G78" s="66" t="s">
        <v>98</v>
      </c>
      <c r="H78" s="7" t="str">
        <f>'Material quantities'!G78</f>
        <v>CERB</v>
      </c>
      <c r="I78" s="38">
        <f>'Material quantities'!O78</f>
        <v>19627.992999999999</v>
      </c>
      <c r="J78" s="68" t="s">
        <v>15</v>
      </c>
      <c r="K78" s="2"/>
      <c r="L78" s="144">
        <f>VLOOKUP($H78,'Material impact data'!$E$19:$AM$61,6,0)/VLOOKUP($H78,'Material impact data'!$E$19:$AM$61,4,0)*$I78</f>
        <v>8243.7570599999999</v>
      </c>
      <c r="M78" s="138">
        <f>VLOOKUP($H78,'Material impact data'!$E$19:$AM$61,'Material impact data'!M$15,0)/VLOOKUP($H78,'Material impact data'!$E$19:$AM$61,4,0)*$I78</f>
        <v>6045.4218439999995</v>
      </c>
      <c r="N78" s="138">
        <f>VLOOKUP($H78,'Material impact data'!$E$19:$AM$61,'Material impact data'!N$15,0)/VLOOKUP($H78,'Material impact data'!$E$19:$AM$61,4,0)*$I78</f>
        <v>81063.611089999991</v>
      </c>
      <c r="O78" s="180">
        <f>VLOOKUP($H78,'Material impact data'!$E$19:$AM$61,'Material impact data'!O$15,0)/VLOOKUP($H78,'Material impact data'!$E$19:$AM$61,4,0)*$I78</f>
        <v>40.237385649999993</v>
      </c>
      <c r="P78" s="180">
        <f>VLOOKUP($H78,'Material impact data'!$E$19:$AM$61,'Material impact data'!P$15,0)/VLOOKUP($H78,'Material impact data'!$E$19:$AM$61,4,0)*$I78</f>
        <v>802.78491369999995</v>
      </c>
      <c r="Q78" s="179">
        <f>VLOOKUP($H78,'Material impact data'!$E$19:$AM$61,'Material impact data'!Q$15,0)/VLOOKUP($H78,'Material impact data'!$E$19:$AM$61,4,0)*$I78</f>
        <v>18.744733314999998</v>
      </c>
      <c r="R78" s="179">
        <f>VLOOKUP($H78,'Material impact data'!$E$19:$AM$61,'Material impact data'!R$15,0)/VLOOKUP($H78,'Material impact data'!$E$19:$AM$61,4,0)*$I78</f>
        <v>196.27992999999998</v>
      </c>
      <c r="S78" s="138">
        <f>VLOOKUP($H78,'Material impact data'!$E$19:$AM$61,'Material impact data'!S$15,0)/VLOOKUP($H78,'Material impact data'!$E$19:$AM$61,4,0)*$I78</f>
        <v>6163.1898019999999</v>
      </c>
      <c r="T78" s="138">
        <f>VLOOKUP($H78,'Material impact data'!$E$19:$AM$61,'Material impact data'!T$15,0)/VLOOKUP($H78,'Material impact data'!$E$19:$AM$61,4,0)*$I78</f>
        <v>73212.413889999996</v>
      </c>
      <c r="U78" s="138">
        <f>VLOOKUP($H78,'Material impact data'!$E$19:$AM$61,'Material impact data'!U$15,0)/VLOOKUP($H78,'Material impact data'!$E$19:$AM$61,4,0)*$I78</f>
        <v>5.2406741309999998E-3</v>
      </c>
      <c r="V78" s="138">
        <f>VLOOKUP($H78,'Material impact data'!$E$19:$AM$61,'Material impact data'!V$15,0)/VLOOKUP($H78,'Material impact data'!$E$19:$AM$61,4,0)*$I78</f>
        <v>19.588737013999999</v>
      </c>
      <c r="W78" s="138">
        <f>VLOOKUP($H78,'Material impact data'!$E$19:$AM$61,'Material impact data'!W$15,0)/VLOOKUP($H78,'Material impact data'!$E$19:$AM$61,4,0)*$I78</f>
        <v>4.0433665579999998</v>
      </c>
      <c r="X78" s="138">
        <f>VLOOKUP($H78,'Material impact data'!$E$19:$AM$61,'Material impact data'!X$15,0)/VLOOKUP($H78,'Material impact data'!$E$19:$AM$61,4,0)*$I78</f>
        <v>1.0186928366999999</v>
      </c>
      <c r="Y78" s="138">
        <f>VLOOKUP($H78,'Material impact data'!$E$19:$AM$61,'Material impact data'!Y$15,0)/VLOOKUP($H78,'Material impact data'!$E$19:$AM$61,4,0)*$I78</f>
        <v>9.931764458E-6</v>
      </c>
      <c r="Z78" s="180">
        <f>VLOOKUP($H78,'Material impact data'!$E$19:$AM$61,'Material impact data'!Z$15,0)/VLOOKUP($H78,'Material impact data'!$E$19:$AM$61,4,0)*$I78</f>
        <v>57.902579350000003</v>
      </c>
      <c r="AA78" s="180">
        <f>VLOOKUP($H78,'Material impact data'!$E$19:$AM$61,'Material impact data'!AA$15,0)/VLOOKUP($H78,'Material impact data'!$E$19:$AM$61,4,0)*$I78</f>
        <v>800.82211439999992</v>
      </c>
      <c r="AB78" s="180">
        <f>VLOOKUP($H78,'Material impact data'!$E$19:$AM$61,'Material impact data'!AB$15,0)/VLOOKUP($H78,'Material impact data'!$E$19:$AM$61,4,0)*$I78</f>
        <v>4.651834341E-6</v>
      </c>
      <c r="AC78" s="180">
        <f>VLOOKUP($H78,'Material impact data'!$E$19:$AM$61,'Material impact data'!AC$15,0)/VLOOKUP($H78,'Material impact data'!$E$19:$AM$61,4,0)*$I78</f>
        <v>0.24338711319999998</v>
      </c>
      <c r="AD78" s="180">
        <f>VLOOKUP($H78,'Material impact data'!$E$19:$AM$61,'Material impact data'!AD$15,0)/VLOOKUP($H78,'Material impact data'!$E$19:$AM$61,4,0)*$I78</f>
        <v>6.0454218439999992E-2</v>
      </c>
      <c r="AE78" s="180">
        <f>VLOOKUP($H78,'Material impact data'!$E$19:$AM$61,'Material impact data'!AE$15,0)/VLOOKUP($H78,'Material impact data'!$E$19:$AM$61,4,0)*$I78</f>
        <v>-8.8914808289999994E-2</v>
      </c>
      <c r="AF78" s="180">
        <f>VLOOKUP($H78,'Material impact data'!$E$19:$AM$61,'Material impact data'!AF$15,0)/VLOOKUP($H78,'Material impact data'!$E$19:$AM$61,4,0)*$I78</f>
        <v>1.9431713070000002E-11</v>
      </c>
      <c r="AG78" s="179">
        <f>VLOOKUP($H78,'Material impact data'!$E$19:$AM$61,'Material impact data'!AG$15,0)/VLOOKUP($H78,'Material impact data'!$E$19:$AM$61,4,0)*$I78</f>
        <v>46.125783550000001</v>
      </c>
      <c r="AH78" s="179">
        <f>VLOOKUP($H78,'Material impact data'!$E$19:$AM$61,'Material impact data'!AH$15,0)/VLOOKUP($H78,'Material impact data'!$E$19:$AM$61,4,0)*$I78</f>
        <v>191.56921167999997</v>
      </c>
      <c r="AI78" s="179">
        <f>VLOOKUP($H78,'Material impact data'!$E$19:$AM$61,'Material impact data'!AI$15,0)/VLOOKUP($H78,'Material impact data'!$E$19:$AM$61,4,0)*$I78</f>
        <v>3.9844825789999993E-6</v>
      </c>
      <c r="AJ78" s="179">
        <f>VLOOKUP($H78,'Material impact data'!$E$19:$AM$61,'Material impact data'!AJ$15,0)/VLOOKUP($H78,'Material impact data'!$E$19:$AM$61,4,0)*$I78</f>
        <v>7.8315692069999998E-2</v>
      </c>
      <c r="AK78" s="179">
        <f>VLOOKUP($H78,'Material impact data'!$E$19:$AM$61,'Material impact data'!AK$15,0)/VLOOKUP($H78,'Material impact data'!$E$19:$AM$61,4,0)*$I78</f>
        <v>1.295447538E-2</v>
      </c>
      <c r="AL78" s="179">
        <f>VLOOKUP($H78,'Material impact data'!$E$19:$AM$61,'Material impact data'!AL$15,0)/VLOOKUP($H78,'Material impact data'!$E$19:$AM$61,4,0)*$I78</f>
        <v>-2.6105230690000002E-3</v>
      </c>
      <c r="AM78" s="179">
        <f>VLOOKUP($H78,'Material impact data'!$E$19:$AM$61,'Material impact data'!AM$15,0)/VLOOKUP($H78,'Material impact data'!$E$19:$AM$61,4,0)*$I78</f>
        <v>1.5506114469999997E-11</v>
      </c>
      <c r="AO78" s="189">
        <f>M78/'Building &amp; Material inputs'!$C$18/'Building &amp; Material inputs'!$C$19</f>
        <v>0.46951086082634352</v>
      </c>
      <c r="AP78" s="189">
        <f>N78/'Building &amp; Material inputs'!$C$18/'Building &amp; Material inputs'!$C$19</f>
        <v>6.2957138156259704</v>
      </c>
      <c r="AQ78" s="141">
        <f>O78/'Building &amp; Material inputs'!$C$18/'Building &amp; Material inputs'!$C$19</f>
        <v>3.1249911191363771E-3</v>
      </c>
      <c r="AR78" s="141">
        <f>P78/'Building &amp; Material inputs'!$C$18/'Building &amp; Material inputs'!$C$19</f>
        <v>6.2347383791550165E-2</v>
      </c>
      <c r="AS78" s="188">
        <f>Q78/'Building &amp; Material inputs'!$C$18/'Building &amp; Material inputs'!$C$19</f>
        <v>1.4557885457440198E-3</v>
      </c>
      <c r="AT78" s="188">
        <f>R78/'Building &amp; Material inputs'!$C$18/'Building &amp; Material inputs'!$C$19</f>
        <v>1.5243859117738427E-2</v>
      </c>
      <c r="AU78" s="189">
        <f>S78/'Building &amp; Material inputs'!$C$18/'Building &amp; Material inputs'!$C$19</f>
        <v>0.47865717629698668</v>
      </c>
      <c r="AV78" s="189">
        <f>T78/'Building &amp; Material inputs'!$C$18/'Building &amp; Material inputs'!$C$19</f>
        <v>5.6859594509164335</v>
      </c>
      <c r="AW78" s="189">
        <f>U78/'Building &amp; Material inputs'!$C$18/'Building &amp; Material inputs'!$C$19</f>
        <v>4.0701103844361603E-7</v>
      </c>
      <c r="AX78" s="189">
        <f>V78/'Building &amp; Material inputs'!$C$18/'Building &amp; Material inputs'!$C$19</f>
        <v>1.5213371399502951E-3</v>
      </c>
      <c r="AY78" s="189">
        <f>W78/'Building &amp; Material inputs'!$C$18/'Building &amp; Material inputs'!$C$19</f>
        <v>3.1402349782541162E-4</v>
      </c>
      <c r="AZ78" s="189">
        <f>X78/'Building &amp; Material inputs'!$C$18/'Building &amp; Material inputs'!$C$19</f>
        <v>7.9115628821062445E-5</v>
      </c>
      <c r="BA78" s="189">
        <f>Y78/'Building &amp; Material inputs'!$C$18/'Building &amp; Material inputs'!$C$19</f>
        <v>7.7133927135756448E-10</v>
      </c>
      <c r="BB78" s="141">
        <f>Z78/'Building &amp; Material inputs'!$C$18/'Building &amp; Material inputs'!$C$19</f>
        <v>4.4969384397328368E-3</v>
      </c>
      <c r="BC78" s="141">
        <f>AA78/'Building &amp; Material inputs'!$C$18/'Building &amp; Material inputs'!$C$19</f>
        <v>6.2194945200372782E-2</v>
      </c>
      <c r="BD78" s="141">
        <f>AB78/'Building &amp; Material inputs'!$C$18/'Building &amp; Material inputs'!$C$19</f>
        <v>3.612794610904008E-10</v>
      </c>
      <c r="BE78" s="141">
        <f>AC78/'Building &amp; Material inputs'!$C$18/'Building &amp; Material inputs'!$C$19</f>
        <v>1.8902385305995649E-5</v>
      </c>
      <c r="BF78" s="141">
        <f>AD78/'Building &amp; Material inputs'!$C$18/'Building &amp; Material inputs'!$C$19</f>
        <v>4.6951086082634358E-6</v>
      </c>
      <c r="BG78" s="141">
        <f>AE78/'Building &amp; Material inputs'!$C$18/'Building &amp; Material inputs'!$C$19</f>
        <v>-6.9054681803355085E-6</v>
      </c>
      <c r="BH78" s="141">
        <f>AF78/'Building &amp; Material inputs'!$C$18/'Building &amp; Material inputs'!$C$19</f>
        <v>1.5091420526561045E-15</v>
      </c>
      <c r="BI78" s="188">
        <f>AG78/'Building &amp; Material inputs'!$C$18/'Building &amp; Material inputs'!$C$19</f>
        <v>3.5823068926685311E-3</v>
      </c>
      <c r="BJ78" s="188">
        <f>AH78/'Building &amp; Material inputs'!$C$18/'Building &amp; Material inputs'!$C$19</f>
        <v>1.4878006498912704E-2</v>
      </c>
      <c r="BK78" s="188">
        <f>AI78/'Building &amp; Material inputs'!$C$18/'Building &amp; Material inputs'!$C$19</f>
        <v>3.0945034009009002E-10</v>
      </c>
      <c r="BL78" s="188">
        <f>AJ78/'Building &amp; Material inputs'!$C$18/'Building &amp; Material inputs'!$C$19</f>
        <v>6.0822997879776331E-6</v>
      </c>
      <c r="BM78" s="188">
        <f>AK78/'Building &amp; Material inputs'!$C$18/'Building &amp; Material inputs'!$C$19</f>
        <v>1.0060947017707364E-6</v>
      </c>
      <c r="BN78" s="188">
        <f>AL78/'Building &amp; Material inputs'!$C$18/'Building &amp; Material inputs'!$C$19</f>
        <v>-2.0274332626592112E-7</v>
      </c>
      <c r="BO78" s="188">
        <f>AM78/'Building &amp; Material inputs'!$C$18/'Building &amp; Material inputs'!$C$19</f>
        <v>1.2042648703013357E-15</v>
      </c>
    </row>
    <row r="79" spans="2:67" x14ac:dyDescent="0.25">
      <c r="B79" s="334"/>
      <c r="C79" s="305"/>
      <c r="D79" s="302"/>
      <c r="E79" s="303"/>
      <c r="F79" s="65" t="s">
        <v>173</v>
      </c>
      <c r="G79" s="66" t="s">
        <v>364</v>
      </c>
      <c r="H79" s="7" t="str">
        <f>'Material quantities'!G79</f>
        <v>PLASM</v>
      </c>
      <c r="I79" s="38">
        <f>'Material quantities'!O79</f>
        <v>7093.12</v>
      </c>
      <c r="J79" s="68" t="s">
        <v>15</v>
      </c>
      <c r="K79" s="2"/>
      <c r="L79" s="144">
        <f>VLOOKUP($H79,'Material impact data'!$E$19:$AM$61,6,0)/VLOOKUP($H79,'Material impact data'!$E$19:$AM$61,4,0)*$I79</f>
        <v>10639.68</v>
      </c>
      <c r="M79" s="138">
        <f>VLOOKUP($H79,'Material impact data'!$E$19:$AM$61,'Material impact data'!M$15,0)/VLOOKUP($H79,'Material impact data'!$E$19:$AM$61,4,0)*$I79</f>
        <v>5546.8198400000001</v>
      </c>
      <c r="N79" s="138">
        <f>VLOOKUP($H79,'Material impact data'!$E$19:$AM$61,'Material impact data'!N$15,0)/VLOOKUP($H79,'Material impact data'!$E$19:$AM$61,4,0)*$I79</f>
        <v>24896.851199999997</v>
      </c>
      <c r="O79" s="180">
        <f>VLOOKUP($H79,'Material impact data'!$E$19:$AM$61,'Material impact data'!O$15,0)/VLOOKUP($H79,'Material impact data'!$E$19:$AM$61,4,0)*$I79</f>
        <v>139.734464</v>
      </c>
      <c r="P79" s="180">
        <f>VLOOKUP($H79,'Material impact data'!$E$19:$AM$61,'Material impact data'!P$15,0)/VLOOKUP($H79,'Material impact data'!$E$19:$AM$61,4,0)*$I79</f>
        <v>2078.2841599999997</v>
      </c>
      <c r="Q79" s="179">
        <f>VLOOKUP($H79,'Material impact data'!$E$19:$AM$61,'Material impact data'!Q$15,0)/VLOOKUP($H79,'Material impact data'!$E$19:$AM$61,4,0)*$I79</f>
        <v>16.810694399999999</v>
      </c>
      <c r="R79" s="179">
        <f>VLOOKUP($H79,'Material impact data'!$E$19:$AM$61,'Material impact data'!R$15,0)/VLOOKUP($H79,'Material impact data'!$E$19:$AM$61,4,0)*$I79</f>
        <v>87.245375999999993</v>
      </c>
      <c r="S79" s="138">
        <f>VLOOKUP($H79,'Material impact data'!$E$19:$AM$61,'Material impact data'!S$15,0)/VLOOKUP($H79,'Material impact data'!$E$19:$AM$61,4,0)*$I79</f>
        <v>2652.8268800000001</v>
      </c>
      <c r="T79" s="138">
        <f>VLOOKUP($H79,'Material impact data'!$E$19:$AM$61,'Material impact data'!T$15,0)/VLOOKUP($H79,'Material impact data'!$E$19:$AM$61,4,0)*$I79</f>
        <v>22910.777600000001</v>
      </c>
      <c r="U79" s="138">
        <f>VLOOKUP($H79,'Material impact data'!$E$19:$AM$61,'Material impact data'!U$15,0)/VLOOKUP($H79,'Material impact data'!$E$19:$AM$61,4,0)*$I79</f>
        <v>6.1071763200000002E-3</v>
      </c>
      <c r="V79" s="138">
        <f>VLOOKUP($H79,'Material impact data'!$E$19:$AM$61,'Material impact data'!V$15,0)/VLOOKUP($H79,'Material impact data'!$E$19:$AM$61,4,0)*$I79</f>
        <v>6.5256704000000001</v>
      </c>
      <c r="W79" s="138">
        <f>VLOOKUP($H79,'Material impact data'!$E$19:$AM$61,'Material impact data'!W$15,0)/VLOOKUP($H79,'Material impact data'!$E$19:$AM$61,4,0)*$I79</f>
        <v>0.67171846400000002</v>
      </c>
      <c r="X79" s="138">
        <f>VLOOKUP($H79,'Material impact data'!$E$19:$AM$61,'Material impact data'!X$15,0)/VLOOKUP($H79,'Material impact data'!$E$19:$AM$61,4,0)*$I79</f>
        <v>0.54404230399999998</v>
      </c>
      <c r="Y79" s="138">
        <f>VLOOKUP($H79,'Material impact data'!$E$19:$AM$61,'Material impact data'!Y$15,0)/VLOOKUP($H79,'Material impact data'!$E$19:$AM$61,4,0)*$I79</f>
        <v>1.76618688E-5</v>
      </c>
      <c r="Z79" s="180">
        <f>VLOOKUP($H79,'Material impact data'!$E$19:$AM$61,'Material impact data'!Z$15,0)/VLOOKUP($H79,'Material impact data'!$E$19:$AM$61,4,0)*$I79</f>
        <v>154.63001599999998</v>
      </c>
      <c r="AA79" s="180">
        <f>VLOOKUP($H79,'Material impact data'!$E$19:$AM$61,'Material impact data'!AA$15,0)/VLOOKUP($H79,'Material impact data'!$E$19:$AM$61,4,0)*$I79</f>
        <v>2071.1910399999997</v>
      </c>
      <c r="AB79" s="180">
        <f>VLOOKUP($H79,'Material impact data'!$E$19:$AM$61,'Material impact data'!AB$15,0)/VLOOKUP($H79,'Material impact data'!$E$19:$AM$61,4,0)*$I79</f>
        <v>1.6030451200000001E-5</v>
      </c>
      <c r="AC79" s="180">
        <f>VLOOKUP($H79,'Material impact data'!$E$19:$AM$61,'Material impact data'!AC$15,0)/VLOOKUP($H79,'Material impact data'!$E$19:$AM$61,4,0)*$I79</f>
        <v>0.117745792</v>
      </c>
      <c r="AD79" s="180">
        <f>VLOOKUP($H79,'Material impact data'!$E$19:$AM$61,'Material impact data'!AD$15,0)/VLOOKUP($H79,'Material impact data'!$E$19:$AM$61,4,0)*$I79</f>
        <v>2.6528268800000001E-2</v>
      </c>
      <c r="AE79" s="180">
        <f>VLOOKUP($H79,'Material impact data'!$E$19:$AM$61,'Material impact data'!AE$15,0)/VLOOKUP($H79,'Material impact data'!$E$19:$AM$61,4,0)*$I79</f>
        <v>-1.6668831999999999E-3</v>
      </c>
      <c r="AF79" s="180">
        <f>VLOOKUP($H79,'Material impact data'!$E$19:$AM$61,'Material impact data'!AF$15,0)/VLOOKUP($H79,'Material impact data'!$E$19:$AM$61,4,0)*$I79</f>
        <v>3.2486489600000002E-12</v>
      </c>
      <c r="AG79" s="179">
        <f>VLOOKUP($H79,'Material impact data'!$E$19:$AM$61,'Material impact data'!AG$15,0)/VLOOKUP($H79,'Material impact data'!$E$19:$AM$61,4,0)*$I79</f>
        <v>295.78310399999998</v>
      </c>
      <c r="AH79" s="179">
        <f>VLOOKUP($H79,'Material impact data'!$E$19:$AM$61,'Material impact data'!AH$15,0)/VLOOKUP($H79,'Material impact data'!$E$19:$AM$61,4,0)*$I79</f>
        <v>78.733632</v>
      </c>
      <c r="AI79" s="179">
        <f>VLOOKUP($H79,'Material impact data'!$E$19:$AM$61,'Material impact data'!AI$15,0)/VLOOKUP($H79,'Material impact data'!$E$19:$AM$61,4,0)*$I79</f>
        <v>5.1779775999999994E-6</v>
      </c>
      <c r="AJ79" s="179">
        <f>VLOOKUP($H79,'Material impact data'!$E$19:$AM$61,'Material impact data'!AJ$15,0)/VLOOKUP($H79,'Material impact data'!$E$19:$AM$61,4,0)*$I79</f>
        <v>3.8728435200000001E-2</v>
      </c>
      <c r="AK79" s="179">
        <f>VLOOKUP($H79,'Material impact data'!$E$19:$AM$61,'Material impact data'!AK$15,0)/VLOOKUP($H79,'Material impact data'!$E$19:$AM$61,4,0)*$I79</f>
        <v>8.5826752000000006E-3</v>
      </c>
      <c r="AL79" s="179">
        <f>VLOOKUP($H79,'Material impact data'!$E$19:$AM$61,'Material impact data'!AL$15,0)/VLOOKUP($H79,'Material impact data'!$E$19:$AM$61,4,0)*$I79</f>
        <v>2.5889887999999998E-3</v>
      </c>
      <c r="AM79" s="179">
        <f>VLOOKUP($H79,'Material impact data'!$E$19:$AM$61,'Material impact data'!AM$15,0)/VLOOKUP($H79,'Material impact data'!$E$19:$AM$61,4,0)*$I79</f>
        <v>4.0501715199999997E-12</v>
      </c>
      <c r="AO79" s="189">
        <f>M79/'Building &amp; Material inputs'!$C$18/'Building &amp; Material inputs'!$C$19</f>
        <v>0.43078749922336135</v>
      </c>
      <c r="AP79" s="189">
        <f>N79/'Building &amp; Material inputs'!$C$18/'Building &amp; Material inputs'!$C$19</f>
        <v>1.9335858341099721</v>
      </c>
      <c r="AQ79" s="141">
        <f>O79/'Building &amp; Material inputs'!$C$18/'Building &amp; Material inputs'!$C$19</f>
        <v>1.0852319353836596E-2</v>
      </c>
      <c r="AR79" s="141">
        <f>P79/'Building &amp; Material inputs'!$C$18/'Building &amp; Material inputs'!$C$19</f>
        <v>0.16140759242000619</v>
      </c>
      <c r="AS79" s="188">
        <f>Q79/'Building &amp; Material inputs'!$C$18/'Building &amp; Material inputs'!$C$19</f>
        <v>1.305583597390494E-3</v>
      </c>
      <c r="AT79" s="188">
        <f>R79/'Building &amp; Material inputs'!$C$18/'Building &amp; Material inputs'!$C$19</f>
        <v>6.7758136067101581E-3</v>
      </c>
      <c r="AU79" s="189">
        <f>S79/'Building &amp; Material inputs'!$C$18/'Building &amp; Material inputs'!$C$19</f>
        <v>0.2060288039763902</v>
      </c>
      <c r="AV79" s="189">
        <f>T79/'Building &amp; Material inputs'!$C$18/'Building &amp; Material inputs'!$C$19</f>
        <v>1.7793396707051881</v>
      </c>
      <c r="AW79" s="189">
        <f>U79/'Building &amp; Material inputs'!$C$18/'Building &amp; Material inputs'!$C$19</f>
        <v>4.7430695246971119E-7</v>
      </c>
      <c r="AX79" s="189">
        <f>V79/'Building &amp; Material inputs'!$C$18/'Building &amp; Material inputs'!$C$19</f>
        <v>5.0680882261571923E-4</v>
      </c>
      <c r="AY79" s="189">
        <f>W79/'Building &amp; Material inputs'!$C$18/'Building &amp; Material inputs'!$C$19</f>
        <v>5.2168255980118056E-5</v>
      </c>
      <c r="AZ79" s="189">
        <f>X79/'Building &amp; Material inputs'!$C$18/'Building &amp; Material inputs'!$C$19</f>
        <v>4.2252431189810502E-5</v>
      </c>
      <c r="BA79" s="189">
        <f>Y79/'Building &amp; Material inputs'!$C$18/'Building &amp; Material inputs'!$C$19</f>
        <v>1.3716890959925444E-9</v>
      </c>
      <c r="BB79" s="141">
        <f>Z79/'Building &amp; Material inputs'!$C$18/'Building &amp; Material inputs'!$C$19</f>
        <v>1.2009165579372476E-2</v>
      </c>
      <c r="BC79" s="141">
        <f>AA79/'Building &amp; Material inputs'!$C$18/'Building &amp; Material inputs'!$C$19</f>
        <v>0.1608567132649891</v>
      </c>
      <c r="BD79" s="141">
        <f>AB79/'Building &amp; Material inputs'!$C$18/'Building &amp; Material inputs'!$C$19</f>
        <v>1.2449868903386145E-9</v>
      </c>
      <c r="BE79" s="141">
        <f>AC79/'Building &amp; Material inputs'!$C$18/'Building &amp; Material inputs'!$C$19</f>
        <v>9.1445939732836295E-6</v>
      </c>
      <c r="BF79" s="141">
        <f>AD79/'Building &amp; Material inputs'!$C$18/'Building &amp; Material inputs'!$C$19</f>
        <v>2.0602880397639021E-6</v>
      </c>
      <c r="BG79" s="141">
        <f>AE79/'Building &amp; Material inputs'!$C$18/'Building &amp; Material inputs'!$C$19</f>
        <v>-1.2945660142901523E-7</v>
      </c>
      <c r="BH79" s="141">
        <f>AF79/'Building &amp; Material inputs'!$C$18/'Building &amp; Material inputs'!$C$19</f>
        <v>2.5230265299782546E-16</v>
      </c>
      <c r="BI79" s="188">
        <f>AG79/'Building &amp; Material inputs'!$C$18/'Building &amp; Material inputs'!$C$19</f>
        <v>2.2971660764212486E-2</v>
      </c>
      <c r="BJ79" s="188">
        <f>AH79/'Building &amp; Material inputs'!$C$18/'Building &amp; Material inputs'!$C$19</f>
        <v>6.1147586206896556E-3</v>
      </c>
      <c r="BK79" s="188">
        <f>AI79/'Building &amp; Material inputs'!$C$18/'Building &amp; Material inputs'!$C$19</f>
        <v>4.0214178316247277E-10</v>
      </c>
      <c r="BL79" s="188">
        <f>AJ79/'Building &amp; Material inputs'!$C$18/'Building &amp; Material inputs'!$C$19</f>
        <v>3.00780018639329E-6</v>
      </c>
      <c r="BM79" s="188">
        <f>AK79/'Building &amp; Material inputs'!$C$18/'Building &amp; Material inputs'!$C$19</f>
        <v>6.6656377757067426E-7</v>
      </c>
      <c r="BN79" s="188">
        <f>AL79/'Building &amp; Material inputs'!$C$18/'Building &amp; Material inputs'!$C$19</f>
        <v>2.0107089158123643E-7</v>
      </c>
      <c r="BO79" s="188">
        <f>AM79/'Building &amp; Material inputs'!$C$18/'Building &amp; Material inputs'!$C$19</f>
        <v>3.1455199751475613E-16</v>
      </c>
    </row>
    <row r="80" spans="2:67" x14ac:dyDescent="0.25">
      <c r="B80" s="334"/>
      <c r="C80" s="305"/>
      <c r="D80" s="302"/>
      <c r="E80" s="299" t="s">
        <v>375</v>
      </c>
      <c r="F80" s="76" t="s">
        <v>174</v>
      </c>
      <c r="G80" s="60" t="s">
        <v>368</v>
      </c>
      <c r="H80" s="7" t="str">
        <f>'Material quantities'!G80</f>
        <v>GYP_F</v>
      </c>
      <c r="I80" s="38">
        <f>'Material quantities'!O80</f>
        <v>0</v>
      </c>
      <c r="J80" s="62" t="s">
        <v>332</v>
      </c>
      <c r="K80" s="2"/>
      <c r="L80" s="144">
        <f>VLOOKUP($H80,'Material impact data'!$E$19:$AM$61,6,0)/VLOOKUP($H80,'Material impact data'!$E$19:$AM$61,4,0)*$I80</f>
        <v>0</v>
      </c>
      <c r="M80" s="138">
        <f>VLOOKUP($H80,'Material impact data'!$E$19:$AM$61,'Material impact data'!M$15,0)/VLOOKUP($H80,'Material impact data'!$E$19:$AM$61,4,0)*$I80</f>
        <v>0</v>
      </c>
      <c r="N80" s="138">
        <f>VLOOKUP($H80,'Material impact data'!$E$19:$AM$61,'Material impact data'!N$15,0)/VLOOKUP($H80,'Material impact data'!$E$19:$AM$61,4,0)*$I80</f>
        <v>0</v>
      </c>
      <c r="O80" s="180">
        <f>VLOOKUP($H80,'Material impact data'!$E$19:$AM$61,'Material impact data'!O$15,0)/VLOOKUP($H80,'Material impact data'!$E$19:$AM$61,4,0)*$I80</f>
        <v>0</v>
      </c>
      <c r="P80" s="180">
        <f>VLOOKUP($H80,'Material impact data'!$E$19:$AM$61,'Material impact data'!P$15,0)/VLOOKUP($H80,'Material impact data'!$E$19:$AM$61,4,0)*$I80</f>
        <v>0</v>
      </c>
      <c r="Q80" s="179">
        <f>VLOOKUP($H80,'Material impact data'!$E$19:$AM$61,'Material impact data'!Q$15,0)/VLOOKUP($H80,'Material impact data'!$E$19:$AM$61,4,0)*$I80</f>
        <v>0</v>
      </c>
      <c r="R80" s="179">
        <f>VLOOKUP($H80,'Material impact data'!$E$19:$AM$61,'Material impact data'!R$15,0)/VLOOKUP($H80,'Material impact data'!$E$19:$AM$61,4,0)*$I80</f>
        <v>0</v>
      </c>
      <c r="S80" s="138">
        <f>VLOOKUP($H80,'Material impact data'!$E$19:$AM$61,'Material impact data'!S$15,0)/VLOOKUP($H80,'Material impact data'!$E$19:$AM$61,4,0)*$I80</f>
        <v>0</v>
      </c>
      <c r="T80" s="138">
        <f>VLOOKUP($H80,'Material impact data'!$E$19:$AM$61,'Material impact data'!T$15,0)/VLOOKUP($H80,'Material impact data'!$E$19:$AM$61,4,0)*$I80</f>
        <v>0</v>
      </c>
      <c r="U80" s="138">
        <f>VLOOKUP($H80,'Material impact data'!$E$19:$AM$61,'Material impact data'!U$15,0)/VLOOKUP($H80,'Material impact data'!$E$19:$AM$61,4,0)*$I80</f>
        <v>0</v>
      </c>
      <c r="V80" s="138">
        <f>VLOOKUP($H80,'Material impact data'!$E$19:$AM$61,'Material impact data'!V$15,0)/VLOOKUP($H80,'Material impact data'!$E$19:$AM$61,4,0)*$I80</f>
        <v>0</v>
      </c>
      <c r="W80" s="138">
        <f>VLOOKUP($H80,'Material impact data'!$E$19:$AM$61,'Material impact data'!W$15,0)/VLOOKUP($H80,'Material impact data'!$E$19:$AM$61,4,0)*$I80</f>
        <v>0</v>
      </c>
      <c r="X80" s="138">
        <f>VLOOKUP($H80,'Material impact data'!$E$19:$AM$61,'Material impact data'!X$15,0)/VLOOKUP($H80,'Material impact data'!$E$19:$AM$61,4,0)*$I80</f>
        <v>0</v>
      </c>
      <c r="Y80" s="138">
        <f>VLOOKUP($H80,'Material impact data'!$E$19:$AM$61,'Material impact data'!Y$15,0)/VLOOKUP($H80,'Material impact data'!$E$19:$AM$61,4,0)*$I80</f>
        <v>0</v>
      </c>
      <c r="Z80" s="180">
        <f>VLOOKUP($H80,'Material impact data'!$E$19:$AM$61,'Material impact data'!Z$15,0)/VLOOKUP($H80,'Material impact data'!$E$19:$AM$61,4,0)*$I80</f>
        <v>0</v>
      </c>
      <c r="AA80" s="180">
        <f>VLOOKUP($H80,'Material impact data'!$E$19:$AM$61,'Material impact data'!AA$15,0)/VLOOKUP($H80,'Material impact data'!$E$19:$AM$61,4,0)*$I80</f>
        <v>0</v>
      </c>
      <c r="AB80" s="180">
        <f>VLOOKUP($H80,'Material impact data'!$E$19:$AM$61,'Material impact data'!AB$15,0)/VLOOKUP($H80,'Material impact data'!$E$19:$AM$61,4,0)*$I80</f>
        <v>0</v>
      </c>
      <c r="AC80" s="180">
        <f>VLOOKUP($H80,'Material impact data'!$E$19:$AM$61,'Material impact data'!AC$15,0)/VLOOKUP($H80,'Material impact data'!$E$19:$AM$61,4,0)*$I80</f>
        <v>0</v>
      </c>
      <c r="AD80" s="180">
        <f>VLOOKUP($H80,'Material impact data'!$E$19:$AM$61,'Material impact data'!AD$15,0)/VLOOKUP($H80,'Material impact data'!$E$19:$AM$61,4,0)*$I80</f>
        <v>0</v>
      </c>
      <c r="AE80" s="180">
        <f>VLOOKUP($H80,'Material impact data'!$E$19:$AM$61,'Material impact data'!AE$15,0)/VLOOKUP($H80,'Material impact data'!$E$19:$AM$61,4,0)*$I80</f>
        <v>0</v>
      </c>
      <c r="AF80" s="180">
        <f>VLOOKUP($H80,'Material impact data'!$E$19:$AM$61,'Material impact data'!AF$15,0)/VLOOKUP($H80,'Material impact data'!$E$19:$AM$61,4,0)*$I80</f>
        <v>0</v>
      </c>
      <c r="AG80" s="179">
        <f>VLOOKUP($H80,'Material impact data'!$E$19:$AM$61,'Material impact data'!AG$15,0)/VLOOKUP($H80,'Material impact data'!$E$19:$AM$61,4,0)*$I80</f>
        <v>0</v>
      </c>
      <c r="AH80" s="179">
        <f>VLOOKUP($H80,'Material impact data'!$E$19:$AM$61,'Material impact data'!AH$15,0)/VLOOKUP($H80,'Material impact data'!$E$19:$AM$61,4,0)*$I80</f>
        <v>0</v>
      </c>
      <c r="AI80" s="179">
        <f>VLOOKUP($H80,'Material impact data'!$E$19:$AM$61,'Material impact data'!AI$15,0)/VLOOKUP($H80,'Material impact data'!$E$19:$AM$61,4,0)*$I80</f>
        <v>0</v>
      </c>
      <c r="AJ80" s="179">
        <f>VLOOKUP($H80,'Material impact data'!$E$19:$AM$61,'Material impact data'!AJ$15,0)/VLOOKUP($H80,'Material impact data'!$E$19:$AM$61,4,0)*$I80</f>
        <v>0</v>
      </c>
      <c r="AK80" s="179">
        <f>VLOOKUP($H80,'Material impact data'!$E$19:$AM$61,'Material impact data'!AK$15,0)/VLOOKUP($H80,'Material impact data'!$E$19:$AM$61,4,0)*$I80</f>
        <v>0</v>
      </c>
      <c r="AL80" s="179">
        <f>VLOOKUP($H80,'Material impact data'!$E$19:$AM$61,'Material impact data'!AL$15,0)/VLOOKUP($H80,'Material impact data'!$E$19:$AM$61,4,0)*$I80</f>
        <v>0</v>
      </c>
      <c r="AM80" s="179">
        <f>VLOOKUP($H80,'Material impact data'!$E$19:$AM$61,'Material impact data'!AM$15,0)/VLOOKUP($H80,'Material impact data'!$E$19:$AM$61,4,0)*$I80</f>
        <v>0</v>
      </c>
      <c r="AO80" s="189">
        <f>M80/'Building &amp; Material inputs'!$C$18/'Building &amp; Material inputs'!$C$19</f>
        <v>0</v>
      </c>
      <c r="AP80" s="189">
        <f>N80/'Building &amp; Material inputs'!$C$18/'Building &amp; Material inputs'!$C$19</f>
        <v>0</v>
      </c>
      <c r="AQ80" s="141">
        <f>O80/'Building &amp; Material inputs'!$C$18/'Building &amp; Material inputs'!$C$19</f>
        <v>0</v>
      </c>
      <c r="AR80" s="141">
        <f>P80/'Building &amp; Material inputs'!$C$18/'Building &amp; Material inputs'!$C$19</f>
        <v>0</v>
      </c>
      <c r="AS80" s="188">
        <f>Q80/'Building &amp; Material inputs'!$C$18/'Building &amp; Material inputs'!$C$19</f>
        <v>0</v>
      </c>
      <c r="AT80" s="188">
        <f>R80/'Building &amp; Material inputs'!$C$18/'Building &amp; Material inputs'!$C$19</f>
        <v>0</v>
      </c>
      <c r="AU80" s="189">
        <f>S80/'Building &amp; Material inputs'!$C$18/'Building &amp; Material inputs'!$C$19</f>
        <v>0</v>
      </c>
      <c r="AV80" s="189">
        <f>T80/'Building &amp; Material inputs'!$C$18/'Building &amp; Material inputs'!$C$19</f>
        <v>0</v>
      </c>
      <c r="AW80" s="189">
        <f>U80/'Building &amp; Material inputs'!$C$18/'Building &amp; Material inputs'!$C$19</f>
        <v>0</v>
      </c>
      <c r="AX80" s="189">
        <f>V80/'Building &amp; Material inputs'!$C$18/'Building &amp; Material inputs'!$C$19</f>
        <v>0</v>
      </c>
      <c r="AY80" s="189">
        <f>W80/'Building &amp; Material inputs'!$C$18/'Building &amp; Material inputs'!$C$19</f>
        <v>0</v>
      </c>
      <c r="AZ80" s="189">
        <f>X80/'Building &amp; Material inputs'!$C$18/'Building &amp; Material inputs'!$C$19</f>
        <v>0</v>
      </c>
      <c r="BA80" s="189">
        <f>Y80/'Building &amp; Material inputs'!$C$18/'Building &amp; Material inputs'!$C$19</f>
        <v>0</v>
      </c>
      <c r="BB80" s="141">
        <f>Z80/'Building &amp; Material inputs'!$C$18/'Building &amp; Material inputs'!$C$19</f>
        <v>0</v>
      </c>
      <c r="BC80" s="141">
        <f>AA80/'Building &amp; Material inputs'!$C$18/'Building &amp; Material inputs'!$C$19</f>
        <v>0</v>
      </c>
      <c r="BD80" s="141">
        <f>AB80/'Building &amp; Material inputs'!$C$18/'Building &amp; Material inputs'!$C$19</f>
        <v>0</v>
      </c>
      <c r="BE80" s="141">
        <f>AC80/'Building &amp; Material inputs'!$C$18/'Building &amp; Material inputs'!$C$19</f>
        <v>0</v>
      </c>
      <c r="BF80" s="141">
        <f>AD80/'Building &amp; Material inputs'!$C$18/'Building &amp; Material inputs'!$C$19</f>
        <v>0</v>
      </c>
      <c r="BG80" s="141">
        <f>AE80/'Building &amp; Material inputs'!$C$18/'Building &amp; Material inputs'!$C$19</f>
        <v>0</v>
      </c>
      <c r="BH80" s="141">
        <f>AF80/'Building &amp; Material inputs'!$C$18/'Building &amp; Material inputs'!$C$19</f>
        <v>0</v>
      </c>
      <c r="BI80" s="188">
        <f>AG80/'Building &amp; Material inputs'!$C$18/'Building &amp; Material inputs'!$C$19</f>
        <v>0</v>
      </c>
      <c r="BJ80" s="188">
        <f>AH80/'Building &amp; Material inputs'!$C$18/'Building &amp; Material inputs'!$C$19</f>
        <v>0</v>
      </c>
      <c r="BK80" s="188">
        <f>AI80/'Building &amp; Material inputs'!$C$18/'Building &amp; Material inputs'!$C$19</f>
        <v>0</v>
      </c>
      <c r="BL80" s="188">
        <f>AJ80/'Building &amp; Material inputs'!$C$18/'Building &amp; Material inputs'!$C$19</f>
        <v>0</v>
      </c>
      <c r="BM80" s="188">
        <f>AK80/'Building &amp; Material inputs'!$C$18/'Building &amp; Material inputs'!$C$19</f>
        <v>0</v>
      </c>
      <c r="BN80" s="188">
        <f>AL80/'Building &amp; Material inputs'!$C$18/'Building &amp; Material inputs'!$C$19</f>
        <v>0</v>
      </c>
      <c r="BO80" s="188">
        <f>AM80/'Building &amp; Material inputs'!$C$18/'Building &amp; Material inputs'!$C$19</f>
        <v>0</v>
      </c>
    </row>
    <row r="81" spans="2:67" x14ac:dyDescent="0.25">
      <c r="B81" s="334"/>
      <c r="C81" s="305"/>
      <c r="D81" s="302"/>
      <c r="E81" s="299"/>
      <c r="F81" s="76" t="s">
        <v>175</v>
      </c>
      <c r="G81" s="60" t="s">
        <v>100</v>
      </c>
      <c r="H81" s="7" t="str">
        <f>'Material quantities'!G81</f>
        <v>ST-GC</v>
      </c>
      <c r="I81" s="38">
        <f>'Material quantities'!O81</f>
        <v>0</v>
      </c>
      <c r="J81" s="62" t="s">
        <v>15</v>
      </c>
      <c r="K81" s="2"/>
      <c r="L81" s="144">
        <f>VLOOKUP($H81,'Material impact data'!$E$19:$AM$61,6,0)/VLOOKUP($H81,'Material impact data'!$E$19:$AM$61,4,0)*$I81</f>
        <v>0</v>
      </c>
      <c r="M81" s="138">
        <f>VLOOKUP($H81,'Material impact data'!$E$19:$AM$61,'Material impact data'!M$15,0)/VLOOKUP($H81,'Material impact data'!$E$19:$AM$61,4,0)*$I81</f>
        <v>0</v>
      </c>
      <c r="N81" s="138">
        <f>VLOOKUP($H81,'Material impact data'!$E$19:$AM$61,'Material impact data'!N$15,0)/VLOOKUP($H81,'Material impact data'!$E$19:$AM$61,4,0)*$I81</f>
        <v>0</v>
      </c>
      <c r="O81" s="180">
        <f>VLOOKUP($H81,'Material impact data'!$E$19:$AM$61,'Material impact data'!O$15,0)/VLOOKUP($H81,'Material impact data'!$E$19:$AM$61,4,0)*$I81</f>
        <v>0</v>
      </c>
      <c r="P81" s="180">
        <f>VLOOKUP($H81,'Material impact data'!$E$19:$AM$61,'Material impact data'!P$15,0)/VLOOKUP($H81,'Material impact data'!$E$19:$AM$61,4,0)*$I81</f>
        <v>0</v>
      </c>
      <c r="Q81" s="179">
        <f>VLOOKUP($H81,'Material impact data'!$E$19:$AM$61,'Material impact data'!Q$15,0)/VLOOKUP($H81,'Material impact data'!$E$19:$AM$61,4,0)*$I81</f>
        <v>0</v>
      </c>
      <c r="R81" s="179">
        <f>VLOOKUP($H81,'Material impact data'!$E$19:$AM$61,'Material impact data'!R$15,0)/VLOOKUP($H81,'Material impact data'!$E$19:$AM$61,4,0)*$I81</f>
        <v>0</v>
      </c>
      <c r="S81" s="138">
        <f>VLOOKUP($H81,'Material impact data'!$E$19:$AM$61,'Material impact data'!S$15,0)/VLOOKUP($H81,'Material impact data'!$E$19:$AM$61,4,0)*$I81</f>
        <v>0</v>
      </c>
      <c r="T81" s="138">
        <f>VLOOKUP($H81,'Material impact data'!$E$19:$AM$61,'Material impact data'!T$15,0)/VLOOKUP($H81,'Material impact data'!$E$19:$AM$61,4,0)*$I81</f>
        <v>0</v>
      </c>
      <c r="U81" s="138">
        <f>VLOOKUP($H81,'Material impact data'!$E$19:$AM$61,'Material impact data'!U$15,0)/VLOOKUP($H81,'Material impact data'!$E$19:$AM$61,4,0)*$I81</f>
        <v>0</v>
      </c>
      <c r="V81" s="138">
        <f>VLOOKUP($H81,'Material impact data'!$E$19:$AM$61,'Material impact data'!V$15,0)/VLOOKUP($H81,'Material impact data'!$E$19:$AM$61,4,0)*$I81</f>
        <v>0</v>
      </c>
      <c r="W81" s="138">
        <f>VLOOKUP($H81,'Material impact data'!$E$19:$AM$61,'Material impact data'!W$15,0)/VLOOKUP($H81,'Material impact data'!$E$19:$AM$61,4,0)*$I81</f>
        <v>0</v>
      </c>
      <c r="X81" s="138">
        <f>VLOOKUP($H81,'Material impact data'!$E$19:$AM$61,'Material impact data'!X$15,0)/VLOOKUP($H81,'Material impact data'!$E$19:$AM$61,4,0)*$I81</f>
        <v>0</v>
      </c>
      <c r="Y81" s="138">
        <f>VLOOKUP($H81,'Material impact data'!$E$19:$AM$61,'Material impact data'!Y$15,0)/VLOOKUP($H81,'Material impact data'!$E$19:$AM$61,4,0)*$I81</f>
        <v>0</v>
      </c>
      <c r="Z81" s="180">
        <f>VLOOKUP($H81,'Material impact data'!$E$19:$AM$61,'Material impact data'!Z$15,0)/VLOOKUP($H81,'Material impact data'!$E$19:$AM$61,4,0)*$I81</f>
        <v>0</v>
      </c>
      <c r="AA81" s="180">
        <f>VLOOKUP($H81,'Material impact data'!$E$19:$AM$61,'Material impact data'!AA$15,0)/VLOOKUP($H81,'Material impact data'!$E$19:$AM$61,4,0)*$I81</f>
        <v>0</v>
      </c>
      <c r="AB81" s="180">
        <f>VLOOKUP($H81,'Material impact data'!$E$19:$AM$61,'Material impact data'!AB$15,0)/VLOOKUP($H81,'Material impact data'!$E$19:$AM$61,4,0)*$I81</f>
        <v>0</v>
      </c>
      <c r="AC81" s="180">
        <f>VLOOKUP($H81,'Material impact data'!$E$19:$AM$61,'Material impact data'!AC$15,0)/VLOOKUP($H81,'Material impact data'!$E$19:$AM$61,4,0)*$I81</f>
        <v>0</v>
      </c>
      <c r="AD81" s="180">
        <f>VLOOKUP($H81,'Material impact data'!$E$19:$AM$61,'Material impact data'!AD$15,0)/VLOOKUP($H81,'Material impact data'!$E$19:$AM$61,4,0)*$I81</f>
        <v>0</v>
      </c>
      <c r="AE81" s="180">
        <f>VLOOKUP($H81,'Material impact data'!$E$19:$AM$61,'Material impact data'!AE$15,0)/VLOOKUP($H81,'Material impact data'!$E$19:$AM$61,4,0)*$I81</f>
        <v>0</v>
      </c>
      <c r="AF81" s="180">
        <f>VLOOKUP($H81,'Material impact data'!$E$19:$AM$61,'Material impact data'!AF$15,0)/VLOOKUP($H81,'Material impact data'!$E$19:$AM$61,4,0)*$I81</f>
        <v>0</v>
      </c>
      <c r="AG81" s="179">
        <f>VLOOKUP($H81,'Material impact data'!$E$19:$AM$61,'Material impact data'!AG$15,0)/VLOOKUP($H81,'Material impact data'!$E$19:$AM$61,4,0)*$I81</f>
        <v>0</v>
      </c>
      <c r="AH81" s="179">
        <f>VLOOKUP($H81,'Material impact data'!$E$19:$AM$61,'Material impact data'!AH$15,0)/VLOOKUP($H81,'Material impact data'!$E$19:$AM$61,4,0)*$I81</f>
        <v>0</v>
      </c>
      <c r="AI81" s="179">
        <f>VLOOKUP($H81,'Material impact data'!$E$19:$AM$61,'Material impact data'!AI$15,0)/VLOOKUP($H81,'Material impact data'!$E$19:$AM$61,4,0)*$I81</f>
        <v>0</v>
      </c>
      <c r="AJ81" s="179">
        <f>VLOOKUP($H81,'Material impact data'!$E$19:$AM$61,'Material impact data'!AJ$15,0)/VLOOKUP($H81,'Material impact data'!$E$19:$AM$61,4,0)*$I81</f>
        <v>0</v>
      </c>
      <c r="AK81" s="179">
        <f>VLOOKUP($H81,'Material impact data'!$E$19:$AM$61,'Material impact data'!AK$15,0)/VLOOKUP($H81,'Material impact data'!$E$19:$AM$61,4,0)*$I81</f>
        <v>0</v>
      </c>
      <c r="AL81" s="179">
        <f>VLOOKUP($H81,'Material impact data'!$E$19:$AM$61,'Material impact data'!AL$15,0)/VLOOKUP($H81,'Material impact data'!$E$19:$AM$61,4,0)*$I81</f>
        <v>0</v>
      </c>
      <c r="AM81" s="179">
        <f>VLOOKUP($H81,'Material impact data'!$E$19:$AM$61,'Material impact data'!AM$15,0)/VLOOKUP($H81,'Material impact data'!$E$19:$AM$61,4,0)*$I81</f>
        <v>0</v>
      </c>
      <c r="AO81" s="189">
        <f>M81/'Building &amp; Material inputs'!$C$18/'Building &amp; Material inputs'!$C$19</f>
        <v>0</v>
      </c>
      <c r="AP81" s="189">
        <f>N81/'Building &amp; Material inputs'!$C$18/'Building &amp; Material inputs'!$C$19</f>
        <v>0</v>
      </c>
      <c r="AQ81" s="141">
        <f>O81/'Building &amp; Material inputs'!$C$18/'Building &amp; Material inputs'!$C$19</f>
        <v>0</v>
      </c>
      <c r="AR81" s="141">
        <f>P81/'Building &amp; Material inputs'!$C$18/'Building &amp; Material inputs'!$C$19</f>
        <v>0</v>
      </c>
      <c r="AS81" s="188">
        <f>Q81/'Building &amp; Material inputs'!$C$18/'Building &amp; Material inputs'!$C$19</f>
        <v>0</v>
      </c>
      <c r="AT81" s="188">
        <f>R81/'Building &amp; Material inputs'!$C$18/'Building &amp; Material inputs'!$C$19</f>
        <v>0</v>
      </c>
      <c r="AU81" s="189">
        <f>S81/'Building &amp; Material inputs'!$C$18/'Building &amp; Material inputs'!$C$19</f>
        <v>0</v>
      </c>
      <c r="AV81" s="189">
        <f>T81/'Building &amp; Material inputs'!$C$18/'Building &amp; Material inputs'!$C$19</f>
        <v>0</v>
      </c>
      <c r="AW81" s="189">
        <f>U81/'Building &amp; Material inputs'!$C$18/'Building &amp; Material inputs'!$C$19</f>
        <v>0</v>
      </c>
      <c r="AX81" s="189">
        <f>V81/'Building &amp; Material inputs'!$C$18/'Building &amp; Material inputs'!$C$19</f>
        <v>0</v>
      </c>
      <c r="AY81" s="189">
        <f>W81/'Building &amp; Material inputs'!$C$18/'Building &amp; Material inputs'!$C$19</f>
        <v>0</v>
      </c>
      <c r="AZ81" s="189">
        <f>X81/'Building &amp; Material inputs'!$C$18/'Building &amp; Material inputs'!$C$19</f>
        <v>0</v>
      </c>
      <c r="BA81" s="189">
        <f>Y81/'Building &amp; Material inputs'!$C$18/'Building &amp; Material inputs'!$C$19</f>
        <v>0</v>
      </c>
      <c r="BB81" s="141">
        <f>Z81/'Building &amp; Material inputs'!$C$18/'Building &amp; Material inputs'!$C$19</f>
        <v>0</v>
      </c>
      <c r="BC81" s="141">
        <f>AA81/'Building &amp; Material inputs'!$C$18/'Building &amp; Material inputs'!$C$19</f>
        <v>0</v>
      </c>
      <c r="BD81" s="141">
        <f>AB81/'Building &amp; Material inputs'!$C$18/'Building &amp; Material inputs'!$C$19</f>
        <v>0</v>
      </c>
      <c r="BE81" s="141">
        <f>AC81/'Building &amp; Material inputs'!$C$18/'Building &amp; Material inputs'!$C$19</f>
        <v>0</v>
      </c>
      <c r="BF81" s="141">
        <f>AD81/'Building &amp; Material inputs'!$C$18/'Building &amp; Material inputs'!$C$19</f>
        <v>0</v>
      </c>
      <c r="BG81" s="141">
        <f>AE81/'Building &amp; Material inputs'!$C$18/'Building &amp; Material inputs'!$C$19</f>
        <v>0</v>
      </c>
      <c r="BH81" s="141">
        <f>AF81/'Building &amp; Material inputs'!$C$18/'Building &amp; Material inputs'!$C$19</f>
        <v>0</v>
      </c>
      <c r="BI81" s="188">
        <f>AG81/'Building &amp; Material inputs'!$C$18/'Building &amp; Material inputs'!$C$19</f>
        <v>0</v>
      </c>
      <c r="BJ81" s="188">
        <f>AH81/'Building &amp; Material inputs'!$C$18/'Building &amp; Material inputs'!$C$19</f>
        <v>0</v>
      </c>
      <c r="BK81" s="188">
        <f>AI81/'Building &amp; Material inputs'!$C$18/'Building &amp; Material inputs'!$C$19</f>
        <v>0</v>
      </c>
      <c r="BL81" s="188">
        <f>AJ81/'Building &amp; Material inputs'!$C$18/'Building &amp; Material inputs'!$C$19</f>
        <v>0</v>
      </c>
      <c r="BM81" s="188">
        <f>AK81/'Building &amp; Material inputs'!$C$18/'Building &amp; Material inputs'!$C$19</f>
        <v>0</v>
      </c>
      <c r="BN81" s="188">
        <f>AL81/'Building &amp; Material inputs'!$C$18/'Building &amp; Material inputs'!$C$19</f>
        <v>0</v>
      </c>
      <c r="BO81" s="188">
        <f>AM81/'Building &amp; Material inputs'!$C$18/'Building &amp; Material inputs'!$C$19</f>
        <v>0</v>
      </c>
    </row>
    <row r="82" spans="2:67" x14ac:dyDescent="0.25">
      <c r="B82" s="334"/>
      <c r="C82" s="305"/>
      <c r="D82" s="302"/>
      <c r="E82" s="299"/>
      <c r="F82" s="76" t="s">
        <v>176</v>
      </c>
      <c r="G82" s="78" t="s">
        <v>57</v>
      </c>
      <c r="H82" s="7" t="str">
        <f>'Material quantities'!G82</f>
        <v>MWOOL</v>
      </c>
      <c r="I82" s="38">
        <f>'Material quantities'!O82</f>
        <v>0</v>
      </c>
      <c r="J82" s="62" t="s">
        <v>14</v>
      </c>
      <c r="K82" s="2"/>
      <c r="L82" s="144">
        <f>VLOOKUP($H82,'Material impact data'!$E$19:$AM$61,6,0)/VLOOKUP($H82,'Material impact data'!$E$19:$AM$61,4,0)*$I82</f>
        <v>0</v>
      </c>
      <c r="M82" s="138">
        <f>VLOOKUP($H82,'Material impact data'!$E$19:$AM$61,'Material impact data'!M$15,0)/VLOOKUP($H82,'Material impact data'!$E$19:$AM$61,4,0)*$I82</f>
        <v>0</v>
      </c>
      <c r="N82" s="138">
        <f>VLOOKUP($H82,'Material impact data'!$E$19:$AM$61,'Material impact data'!N$15,0)/VLOOKUP($H82,'Material impact data'!$E$19:$AM$61,4,0)*$I82</f>
        <v>0</v>
      </c>
      <c r="O82" s="180">
        <f>VLOOKUP($H82,'Material impact data'!$E$19:$AM$61,'Material impact data'!O$15,0)/VLOOKUP($H82,'Material impact data'!$E$19:$AM$61,4,0)*$I82</f>
        <v>0</v>
      </c>
      <c r="P82" s="180">
        <f>VLOOKUP($H82,'Material impact data'!$E$19:$AM$61,'Material impact data'!P$15,0)/VLOOKUP($H82,'Material impact data'!$E$19:$AM$61,4,0)*$I82</f>
        <v>0</v>
      </c>
      <c r="Q82" s="179">
        <f>VLOOKUP($H82,'Material impact data'!$E$19:$AM$61,'Material impact data'!Q$15,0)/VLOOKUP($H82,'Material impact data'!$E$19:$AM$61,4,0)*$I82</f>
        <v>0</v>
      </c>
      <c r="R82" s="179">
        <f>VLOOKUP($H82,'Material impact data'!$E$19:$AM$61,'Material impact data'!R$15,0)/VLOOKUP($H82,'Material impact data'!$E$19:$AM$61,4,0)*$I82</f>
        <v>0</v>
      </c>
      <c r="S82" s="138">
        <f>VLOOKUP($H82,'Material impact data'!$E$19:$AM$61,'Material impact data'!S$15,0)/VLOOKUP($H82,'Material impact data'!$E$19:$AM$61,4,0)*$I82</f>
        <v>0</v>
      </c>
      <c r="T82" s="138">
        <f>VLOOKUP($H82,'Material impact data'!$E$19:$AM$61,'Material impact data'!T$15,0)/VLOOKUP($H82,'Material impact data'!$E$19:$AM$61,4,0)*$I82</f>
        <v>0</v>
      </c>
      <c r="U82" s="138">
        <f>VLOOKUP($H82,'Material impact data'!$E$19:$AM$61,'Material impact data'!U$15,0)/VLOOKUP($H82,'Material impact data'!$E$19:$AM$61,4,0)*$I82</f>
        <v>0</v>
      </c>
      <c r="V82" s="138">
        <f>VLOOKUP($H82,'Material impact data'!$E$19:$AM$61,'Material impact data'!V$15,0)/VLOOKUP($H82,'Material impact data'!$E$19:$AM$61,4,0)*$I82</f>
        <v>0</v>
      </c>
      <c r="W82" s="138">
        <f>VLOOKUP($H82,'Material impact data'!$E$19:$AM$61,'Material impact data'!W$15,0)/VLOOKUP($H82,'Material impact data'!$E$19:$AM$61,4,0)*$I82</f>
        <v>0</v>
      </c>
      <c r="X82" s="138">
        <f>VLOOKUP($H82,'Material impact data'!$E$19:$AM$61,'Material impact data'!X$15,0)/VLOOKUP($H82,'Material impact data'!$E$19:$AM$61,4,0)*$I82</f>
        <v>0</v>
      </c>
      <c r="Y82" s="138">
        <f>VLOOKUP($H82,'Material impact data'!$E$19:$AM$61,'Material impact data'!Y$15,0)/VLOOKUP($H82,'Material impact data'!$E$19:$AM$61,4,0)*$I82</f>
        <v>0</v>
      </c>
      <c r="Z82" s="180">
        <f>VLOOKUP($H82,'Material impact data'!$E$19:$AM$61,'Material impact data'!Z$15,0)/VLOOKUP($H82,'Material impact data'!$E$19:$AM$61,4,0)*$I82</f>
        <v>0</v>
      </c>
      <c r="AA82" s="180">
        <f>VLOOKUP($H82,'Material impact data'!$E$19:$AM$61,'Material impact data'!AA$15,0)/VLOOKUP($H82,'Material impact data'!$E$19:$AM$61,4,0)*$I82</f>
        <v>0</v>
      </c>
      <c r="AB82" s="180">
        <f>VLOOKUP($H82,'Material impact data'!$E$19:$AM$61,'Material impact data'!AB$15,0)/VLOOKUP($H82,'Material impact data'!$E$19:$AM$61,4,0)*$I82</f>
        <v>0</v>
      </c>
      <c r="AC82" s="180">
        <f>VLOOKUP($H82,'Material impact data'!$E$19:$AM$61,'Material impact data'!AC$15,0)/VLOOKUP($H82,'Material impact data'!$E$19:$AM$61,4,0)*$I82</f>
        <v>0</v>
      </c>
      <c r="AD82" s="180">
        <f>VLOOKUP($H82,'Material impact data'!$E$19:$AM$61,'Material impact data'!AD$15,0)/VLOOKUP($H82,'Material impact data'!$E$19:$AM$61,4,0)*$I82</f>
        <v>0</v>
      </c>
      <c r="AE82" s="180">
        <f>VLOOKUP($H82,'Material impact data'!$E$19:$AM$61,'Material impact data'!AE$15,0)/VLOOKUP($H82,'Material impact data'!$E$19:$AM$61,4,0)*$I82</f>
        <v>0</v>
      </c>
      <c r="AF82" s="180">
        <f>VLOOKUP($H82,'Material impact data'!$E$19:$AM$61,'Material impact data'!AF$15,0)/VLOOKUP($H82,'Material impact data'!$E$19:$AM$61,4,0)*$I82</f>
        <v>0</v>
      </c>
      <c r="AG82" s="179">
        <f>VLOOKUP($H82,'Material impact data'!$E$19:$AM$61,'Material impact data'!AG$15,0)/VLOOKUP($H82,'Material impact data'!$E$19:$AM$61,4,0)*$I82</f>
        <v>0</v>
      </c>
      <c r="AH82" s="179">
        <f>VLOOKUP($H82,'Material impact data'!$E$19:$AM$61,'Material impact data'!AH$15,0)/VLOOKUP($H82,'Material impact data'!$E$19:$AM$61,4,0)*$I82</f>
        <v>0</v>
      </c>
      <c r="AI82" s="179">
        <f>VLOOKUP($H82,'Material impact data'!$E$19:$AM$61,'Material impact data'!AI$15,0)/VLOOKUP($H82,'Material impact data'!$E$19:$AM$61,4,0)*$I82</f>
        <v>0</v>
      </c>
      <c r="AJ82" s="179">
        <f>VLOOKUP($H82,'Material impact data'!$E$19:$AM$61,'Material impact data'!AJ$15,0)/VLOOKUP($H82,'Material impact data'!$E$19:$AM$61,4,0)*$I82</f>
        <v>0</v>
      </c>
      <c r="AK82" s="179">
        <f>VLOOKUP($H82,'Material impact data'!$E$19:$AM$61,'Material impact data'!AK$15,0)/VLOOKUP($H82,'Material impact data'!$E$19:$AM$61,4,0)*$I82</f>
        <v>0</v>
      </c>
      <c r="AL82" s="179">
        <f>VLOOKUP($H82,'Material impact data'!$E$19:$AM$61,'Material impact data'!AL$15,0)/VLOOKUP($H82,'Material impact data'!$E$19:$AM$61,4,0)*$I82</f>
        <v>0</v>
      </c>
      <c r="AM82" s="179">
        <f>VLOOKUP($H82,'Material impact data'!$E$19:$AM$61,'Material impact data'!AM$15,0)/VLOOKUP($H82,'Material impact data'!$E$19:$AM$61,4,0)*$I82</f>
        <v>0</v>
      </c>
      <c r="AO82" s="189">
        <f>M82/'Building &amp; Material inputs'!$C$18/'Building &amp; Material inputs'!$C$19</f>
        <v>0</v>
      </c>
      <c r="AP82" s="189">
        <f>N82/'Building &amp; Material inputs'!$C$18/'Building &amp; Material inputs'!$C$19</f>
        <v>0</v>
      </c>
      <c r="AQ82" s="141">
        <f>O82/'Building &amp; Material inputs'!$C$18/'Building &amp; Material inputs'!$C$19</f>
        <v>0</v>
      </c>
      <c r="AR82" s="141">
        <f>P82/'Building &amp; Material inputs'!$C$18/'Building &amp; Material inputs'!$C$19</f>
        <v>0</v>
      </c>
      <c r="AS82" s="188">
        <f>Q82/'Building &amp; Material inputs'!$C$18/'Building &amp; Material inputs'!$C$19</f>
        <v>0</v>
      </c>
      <c r="AT82" s="188">
        <f>R82/'Building &amp; Material inputs'!$C$18/'Building &amp; Material inputs'!$C$19</f>
        <v>0</v>
      </c>
      <c r="AU82" s="189">
        <f>S82/'Building &amp; Material inputs'!$C$18/'Building &amp; Material inputs'!$C$19</f>
        <v>0</v>
      </c>
      <c r="AV82" s="189">
        <f>T82/'Building &amp; Material inputs'!$C$18/'Building &amp; Material inputs'!$C$19</f>
        <v>0</v>
      </c>
      <c r="AW82" s="189">
        <f>U82/'Building &amp; Material inputs'!$C$18/'Building &amp; Material inputs'!$C$19</f>
        <v>0</v>
      </c>
      <c r="AX82" s="189">
        <f>V82/'Building &amp; Material inputs'!$C$18/'Building &amp; Material inputs'!$C$19</f>
        <v>0</v>
      </c>
      <c r="AY82" s="189">
        <f>W82/'Building &amp; Material inputs'!$C$18/'Building &amp; Material inputs'!$C$19</f>
        <v>0</v>
      </c>
      <c r="AZ82" s="189">
        <f>X82/'Building &amp; Material inputs'!$C$18/'Building &amp; Material inputs'!$C$19</f>
        <v>0</v>
      </c>
      <c r="BA82" s="189">
        <f>Y82/'Building &amp; Material inputs'!$C$18/'Building &amp; Material inputs'!$C$19</f>
        <v>0</v>
      </c>
      <c r="BB82" s="141">
        <f>Z82/'Building &amp; Material inputs'!$C$18/'Building &amp; Material inputs'!$C$19</f>
        <v>0</v>
      </c>
      <c r="BC82" s="141">
        <f>AA82/'Building &amp; Material inputs'!$C$18/'Building &amp; Material inputs'!$C$19</f>
        <v>0</v>
      </c>
      <c r="BD82" s="141">
        <f>AB82/'Building &amp; Material inputs'!$C$18/'Building &amp; Material inputs'!$C$19</f>
        <v>0</v>
      </c>
      <c r="BE82" s="141">
        <f>AC82/'Building &amp; Material inputs'!$C$18/'Building &amp; Material inputs'!$C$19</f>
        <v>0</v>
      </c>
      <c r="BF82" s="141">
        <f>AD82/'Building &amp; Material inputs'!$C$18/'Building &amp; Material inputs'!$C$19</f>
        <v>0</v>
      </c>
      <c r="BG82" s="141">
        <f>AE82/'Building &amp; Material inputs'!$C$18/'Building &amp; Material inputs'!$C$19</f>
        <v>0</v>
      </c>
      <c r="BH82" s="141">
        <f>AF82/'Building &amp; Material inputs'!$C$18/'Building &amp; Material inputs'!$C$19</f>
        <v>0</v>
      </c>
      <c r="BI82" s="188">
        <f>AG82/'Building &amp; Material inputs'!$C$18/'Building &amp; Material inputs'!$C$19</f>
        <v>0</v>
      </c>
      <c r="BJ82" s="188">
        <f>AH82/'Building &amp; Material inputs'!$C$18/'Building &amp; Material inputs'!$C$19</f>
        <v>0</v>
      </c>
      <c r="BK82" s="188">
        <f>AI82/'Building &amp; Material inputs'!$C$18/'Building &amp; Material inputs'!$C$19</f>
        <v>0</v>
      </c>
      <c r="BL82" s="188">
        <f>AJ82/'Building &amp; Material inputs'!$C$18/'Building &amp; Material inputs'!$C$19</f>
        <v>0</v>
      </c>
      <c r="BM82" s="188">
        <f>AK82/'Building &amp; Material inputs'!$C$18/'Building &amp; Material inputs'!$C$19</f>
        <v>0</v>
      </c>
      <c r="BN82" s="188">
        <f>AL82/'Building &amp; Material inputs'!$C$18/'Building &amp; Material inputs'!$C$19</f>
        <v>0</v>
      </c>
      <c r="BO82" s="188">
        <f>AM82/'Building &amp; Material inputs'!$C$18/'Building &amp; Material inputs'!$C$19</f>
        <v>0</v>
      </c>
    </row>
    <row r="83" spans="2:67" x14ac:dyDescent="0.25">
      <c r="B83" s="334"/>
      <c r="C83" s="305"/>
      <c r="D83" s="302"/>
      <c r="E83" s="303" t="s">
        <v>155</v>
      </c>
      <c r="F83" s="80" t="s">
        <v>177</v>
      </c>
      <c r="G83" s="66" t="s">
        <v>62</v>
      </c>
      <c r="H83" s="7" t="str">
        <f>'Material quantities'!G83</f>
        <v>CLT</v>
      </c>
      <c r="I83" s="38">
        <f>'Material quantities'!O83</f>
        <v>0</v>
      </c>
      <c r="J83" s="68" t="s">
        <v>14</v>
      </c>
      <c r="K83" s="2"/>
      <c r="L83" s="144">
        <f>VLOOKUP($H83,'Material impact data'!$E$19:$AM$61,6,0)/VLOOKUP($H83,'Material impact data'!$E$19:$AM$61,4,0)*$I83</f>
        <v>0</v>
      </c>
      <c r="M83" s="138">
        <f>VLOOKUP($H83,'Material impact data'!$E$19:$AM$61,'Material impact data'!M$15,0)/VLOOKUP($H83,'Material impact data'!$E$19:$AM$61,4,0)*$I83</f>
        <v>0</v>
      </c>
      <c r="N83" s="138">
        <f>VLOOKUP($H83,'Material impact data'!$E$19:$AM$61,'Material impact data'!N$15,0)/VLOOKUP($H83,'Material impact data'!$E$19:$AM$61,4,0)*$I83</f>
        <v>0</v>
      </c>
      <c r="O83" s="180">
        <f>VLOOKUP($H83,'Material impact data'!$E$19:$AM$61,'Material impact data'!O$15,0)/VLOOKUP($H83,'Material impact data'!$E$19:$AM$61,4,0)*$I83</f>
        <v>0</v>
      </c>
      <c r="P83" s="180">
        <f>VLOOKUP($H83,'Material impact data'!$E$19:$AM$61,'Material impact data'!P$15,0)/VLOOKUP($H83,'Material impact data'!$E$19:$AM$61,4,0)*$I83</f>
        <v>0</v>
      </c>
      <c r="Q83" s="179">
        <f>VLOOKUP($H83,'Material impact data'!$E$19:$AM$61,'Material impact data'!Q$15,0)/VLOOKUP($H83,'Material impact data'!$E$19:$AM$61,4,0)*$I83</f>
        <v>0</v>
      </c>
      <c r="R83" s="179">
        <f>VLOOKUP($H83,'Material impact data'!$E$19:$AM$61,'Material impact data'!R$15,0)/VLOOKUP($H83,'Material impact data'!$E$19:$AM$61,4,0)*$I83</f>
        <v>0</v>
      </c>
      <c r="S83" s="138">
        <f>VLOOKUP($H83,'Material impact data'!$E$19:$AM$61,'Material impact data'!S$15,0)/VLOOKUP($H83,'Material impact data'!$E$19:$AM$61,4,0)*$I83</f>
        <v>0</v>
      </c>
      <c r="T83" s="138">
        <f>VLOOKUP($H83,'Material impact data'!$E$19:$AM$61,'Material impact data'!T$15,0)/VLOOKUP($H83,'Material impact data'!$E$19:$AM$61,4,0)*$I83</f>
        <v>0</v>
      </c>
      <c r="U83" s="138">
        <f>VLOOKUP($H83,'Material impact data'!$E$19:$AM$61,'Material impact data'!U$15,0)/VLOOKUP($H83,'Material impact data'!$E$19:$AM$61,4,0)*$I83</f>
        <v>0</v>
      </c>
      <c r="V83" s="138">
        <f>VLOOKUP($H83,'Material impact data'!$E$19:$AM$61,'Material impact data'!V$15,0)/VLOOKUP($H83,'Material impact data'!$E$19:$AM$61,4,0)*$I83</f>
        <v>0</v>
      </c>
      <c r="W83" s="138">
        <f>VLOOKUP($H83,'Material impact data'!$E$19:$AM$61,'Material impact data'!W$15,0)/VLOOKUP($H83,'Material impact data'!$E$19:$AM$61,4,0)*$I83</f>
        <v>0</v>
      </c>
      <c r="X83" s="138">
        <f>VLOOKUP($H83,'Material impact data'!$E$19:$AM$61,'Material impact data'!X$15,0)/VLOOKUP($H83,'Material impact data'!$E$19:$AM$61,4,0)*$I83</f>
        <v>0</v>
      </c>
      <c r="Y83" s="138">
        <f>VLOOKUP($H83,'Material impact data'!$E$19:$AM$61,'Material impact data'!Y$15,0)/VLOOKUP($H83,'Material impact data'!$E$19:$AM$61,4,0)*$I83</f>
        <v>0</v>
      </c>
      <c r="Z83" s="180">
        <f>VLOOKUP($H83,'Material impact data'!$E$19:$AM$61,'Material impact data'!Z$15,0)/VLOOKUP($H83,'Material impact data'!$E$19:$AM$61,4,0)*$I83</f>
        <v>0</v>
      </c>
      <c r="AA83" s="180">
        <f>VLOOKUP($H83,'Material impact data'!$E$19:$AM$61,'Material impact data'!AA$15,0)/VLOOKUP($H83,'Material impact data'!$E$19:$AM$61,4,0)*$I83</f>
        <v>0</v>
      </c>
      <c r="AB83" s="180">
        <f>VLOOKUP($H83,'Material impact data'!$E$19:$AM$61,'Material impact data'!AB$15,0)/VLOOKUP($H83,'Material impact data'!$E$19:$AM$61,4,0)*$I83</f>
        <v>0</v>
      </c>
      <c r="AC83" s="180">
        <f>VLOOKUP($H83,'Material impact data'!$E$19:$AM$61,'Material impact data'!AC$15,0)/VLOOKUP($H83,'Material impact data'!$E$19:$AM$61,4,0)*$I83</f>
        <v>0</v>
      </c>
      <c r="AD83" s="180">
        <f>VLOOKUP($H83,'Material impact data'!$E$19:$AM$61,'Material impact data'!AD$15,0)/VLOOKUP($H83,'Material impact data'!$E$19:$AM$61,4,0)*$I83</f>
        <v>0</v>
      </c>
      <c r="AE83" s="180">
        <f>VLOOKUP($H83,'Material impact data'!$E$19:$AM$61,'Material impact data'!AE$15,0)/VLOOKUP($H83,'Material impact data'!$E$19:$AM$61,4,0)*$I83</f>
        <v>0</v>
      </c>
      <c r="AF83" s="180">
        <f>VLOOKUP($H83,'Material impact data'!$E$19:$AM$61,'Material impact data'!AF$15,0)/VLOOKUP($H83,'Material impact data'!$E$19:$AM$61,4,0)*$I83</f>
        <v>0</v>
      </c>
      <c r="AG83" s="179">
        <f>VLOOKUP($H83,'Material impact data'!$E$19:$AM$61,'Material impact data'!AG$15,0)/VLOOKUP($H83,'Material impact data'!$E$19:$AM$61,4,0)*$I83</f>
        <v>0</v>
      </c>
      <c r="AH83" s="179">
        <f>VLOOKUP($H83,'Material impact data'!$E$19:$AM$61,'Material impact data'!AH$15,0)/VLOOKUP($H83,'Material impact data'!$E$19:$AM$61,4,0)*$I83</f>
        <v>0</v>
      </c>
      <c r="AI83" s="179">
        <f>VLOOKUP($H83,'Material impact data'!$E$19:$AM$61,'Material impact data'!AI$15,0)/VLOOKUP($H83,'Material impact data'!$E$19:$AM$61,4,0)*$I83</f>
        <v>0</v>
      </c>
      <c r="AJ83" s="179">
        <f>VLOOKUP($H83,'Material impact data'!$E$19:$AM$61,'Material impact data'!AJ$15,0)/VLOOKUP($H83,'Material impact data'!$E$19:$AM$61,4,0)*$I83</f>
        <v>0</v>
      </c>
      <c r="AK83" s="179">
        <f>VLOOKUP($H83,'Material impact data'!$E$19:$AM$61,'Material impact data'!AK$15,0)/VLOOKUP($H83,'Material impact data'!$E$19:$AM$61,4,0)*$I83</f>
        <v>0</v>
      </c>
      <c r="AL83" s="179">
        <f>VLOOKUP($H83,'Material impact data'!$E$19:$AM$61,'Material impact data'!AL$15,0)/VLOOKUP($H83,'Material impact data'!$E$19:$AM$61,4,0)*$I83</f>
        <v>0</v>
      </c>
      <c r="AM83" s="179">
        <f>VLOOKUP($H83,'Material impact data'!$E$19:$AM$61,'Material impact data'!AM$15,0)/VLOOKUP($H83,'Material impact data'!$E$19:$AM$61,4,0)*$I83</f>
        <v>0</v>
      </c>
      <c r="AO83" s="189">
        <f>M83/'Building &amp; Material inputs'!$C$18/'Building &amp; Material inputs'!$C$19</f>
        <v>0</v>
      </c>
      <c r="AP83" s="189">
        <f>N83/'Building &amp; Material inputs'!$C$18/'Building &amp; Material inputs'!$C$19</f>
        <v>0</v>
      </c>
      <c r="AQ83" s="141">
        <f>O83/'Building &amp; Material inputs'!$C$18/'Building &amp; Material inputs'!$C$19</f>
        <v>0</v>
      </c>
      <c r="AR83" s="141">
        <f>P83/'Building &amp; Material inputs'!$C$18/'Building &amp; Material inputs'!$C$19</f>
        <v>0</v>
      </c>
      <c r="AS83" s="188">
        <f>Q83/'Building &amp; Material inputs'!$C$18/'Building &amp; Material inputs'!$C$19</f>
        <v>0</v>
      </c>
      <c r="AT83" s="188">
        <f>R83/'Building &amp; Material inputs'!$C$18/'Building &amp; Material inputs'!$C$19</f>
        <v>0</v>
      </c>
      <c r="AU83" s="189">
        <f>S83/'Building &amp; Material inputs'!$C$18/'Building &amp; Material inputs'!$C$19</f>
        <v>0</v>
      </c>
      <c r="AV83" s="189">
        <f>T83/'Building &amp; Material inputs'!$C$18/'Building &amp; Material inputs'!$C$19</f>
        <v>0</v>
      </c>
      <c r="AW83" s="189">
        <f>U83/'Building &amp; Material inputs'!$C$18/'Building &amp; Material inputs'!$C$19</f>
        <v>0</v>
      </c>
      <c r="AX83" s="189">
        <f>V83/'Building &amp; Material inputs'!$C$18/'Building &amp; Material inputs'!$C$19</f>
        <v>0</v>
      </c>
      <c r="AY83" s="189">
        <f>W83/'Building &amp; Material inputs'!$C$18/'Building &amp; Material inputs'!$C$19</f>
        <v>0</v>
      </c>
      <c r="AZ83" s="189">
        <f>X83/'Building &amp; Material inputs'!$C$18/'Building &amp; Material inputs'!$C$19</f>
        <v>0</v>
      </c>
      <c r="BA83" s="189">
        <f>Y83/'Building &amp; Material inputs'!$C$18/'Building &amp; Material inputs'!$C$19</f>
        <v>0</v>
      </c>
      <c r="BB83" s="141">
        <f>Z83/'Building &amp; Material inputs'!$C$18/'Building &amp; Material inputs'!$C$19</f>
        <v>0</v>
      </c>
      <c r="BC83" s="141">
        <f>AA83/'Building &amp; Material inputs'!$C$18/'Building &amp; Material inputs'!$C$19</f>
        <v>0</v>
      </c>
      <c r="BD83" s="141">
        <f>AB83/'Building &amp; Material inputs'!$C$18/'Building &amp; Material inputs'!$C$19</f>
        <v>0</v>
      </c>
      <c r="BE83" s="141">
        <f>AC83/'Building &amp; Material inputs'!$C$18/'Building &amp; Material inputs'!$C$19</f>
        <v>0</v>
      </c>
      <c r="BF83" s="141">
        <f>AD83/'Building &amp; Material inputs'!$C$18/'Building &amp; Material inputs'!$C$19</f>
        <v>0</v>
      </c>
      <c r="BG83" s="141">
        <f>AE83/'Building &amp; Material inputs'!$C$18/'Building &amp; Material inputs'!$C$19</f>
        <v>0</v>
      </c>
      <c r="BH83" s="141">
        <f>AF83/'Building &amp; Material inputs'!$C$18/'Building &amp; Material inputs'!$C$19</f>
        <v>0</v>
      </c>
      <c r="BI83" s="188">
        <f>AG83/'Building &amp; Material inputs'!$C$18/'Building &amp; Material inputs'!$C$19</f>
        <v>0</v>
      </c>
      <c r="BJ83" s="188">
        <f>AH83/'Building &amp; Material inputs'!$C$18/'Building &amp; Material inputs'!$C$19</f>
        <v>0</v>
      </c>
      <c r="BK83" s="188">
        <f>AI83/'Building &amp; Material inputs'!$C$18/'Building &amp; Material inputs'!$C$19</f>
        <v>0</v>
      </c>
      <c r="BL83" s="188">
        <f>AJ83/'Building &amp; Material inputs'!$C$18/'Building &amp; Material inputs'!$C$19</f>
        <v>0</v>
      </c>
      <c r="BM83" s="188">
        <f>AK83/'Building &amp; Material inputs'!$C$18/'Building &amp; Material inputs'!$C$19</f>
        <v>0</v>
      </c>
      <c r="BN83" s="188">
        <f>AL83/'Building &amp; Material inputs'!$C$18/'Building &amp; Material inputs'!$C$19</f>
        <v>0</v>
      </c>
      <c r="BO83" s="188">
        <f>AM83/'Building &amp; Material inputs'!$C$18/'Building &amp; Material inputs'!$C$19</f>
        <v>0</v>
      </c>
    </row>
    <row r="84" spans="2:67" x14ac:dyDescent="0.25">
      <c r="B84" s="334"/>
      <c r="C84" s="305"/>
      <c r="D84" s="302"/>
      <c r="E84" s="303"/>
      <c r="F84" s="80" t="s">
        <v>178</v>
      </c>
      <c r="G84" s="66" t="s">
        <v>605</v>
      </c>
      <c r="H84" s="7" t="str">
        <f>'Material quantities'!G84</f>
        <v>ST-G</v>
      </c>
      <c r="I84" s="38">
        <f>'Material quantities'!O84</f>
        <v>0</v>
      </c>
      <c r="J84" s="68" t="s">
        <v>15</v>
      </c>
      <c r="K84" s="2"/>
      <c r="L84" s="144">
        <f>VLOOKUP($H84,'Material impact data'!$E$19:$AM$61,6,0)/VLOOKUP($H84,'Material impact data'!$E$19:$AM$61,4,0)*$I84</f>
        <v>0</v>
      </c>
      <c r="M84" s="138">
        <f>VLOOKUP($H84,'Material impact data'!$E$19:$AM$61,'Material impact data'!M$15,0)/VLOOKUP($H84,'Material impact data'!$E$19:$AM$61,4,0)*$I84</f>
        <v>0</v>
      </c>
      <c r="N84" s="138">
        <f>VLOOKUP($H84,'Material impact data'!$E$19:$AM$61,'Material impact data'!N$15,0)/VLOOKUP($H84,'Material impact data'!$E$19:$AM$61,4,0)*$I84</f>
        <v>0</v>
      </c>
      <c r="O84" s="180">
        <f>VLOOKUP($H84,'Material impact data'!$E$19:$AM$61,'Material impact data'!O$15,0)/VLOOKUP($H84,'Material impact data'!$E$19:$AM$61,4,0)*$I84</f>
        <v>0</v>
      </c>
      <c r="P84" s="180">
        <f>VLOOKUP($H84,'Material impact data'!$E$19:$AM$61,'Material impact data'!P$15,0)/VLOOKUP($H84,'Material impact data'!$E$19:$AM$61,4,0)*$I84</f>
        <v>0</v>
      </c>
      <c r="Q84" s="179">
        <f>VLOOKUP($H84,'Material impact data'!$E$19:$AM$61,'Material impact data'!Q$15,0)/VLOOKUP($H84,'Material impact data'!$E$19:$AM$61,4,0)*$I84</f>
        <v>0</v>
      </c>
      <c r="R84" s="179">
        <f>VLOOKUP($H84,'Material impact data'!$E$19:$AM$61,'Material impact data'!R$15,0)/VLOOKUP($H84,'Material impact data'!$E$19:$AM$61,4,0)*$I84</f>
        <v>0</v>
      </c>
      <c r="S84" s="138">
        <f>VLOOKUP($H84,'Material impact data'!$E$19:$AM$61,'Material impact data'!S$15,0)/VLOOKUP($H84,'Material impact data'!$E$19:$AM$61,4,0)*$I84</f>
        <v>0</v>
      </c>
      <c r="T84" s="138">
        <f>VLOOKUP($H84,'Material impact data'!$E$19:$AM$61,'Material impact data'!T$15,0)/VLOOKUP($H84,'Material impact data'!$E$19:$AM$61,4,0)*$I84</f>
        <v>0</v>
      </c>
      <c r="U84" s="138">
        <f>VLOOKUP($H84,'Material impact data'!$E$19:$AM$61,'Material impact data'!U$15,0)/VLOOKUP($H84,'Material impact data'!$E$19:$AM$61,4,0)*$I84</f>
        <v>0</v>
      </c>
      <c r="V84" s="138">
        <f>VLOOKUP($H84,'Material impact data'!$E$19:$AM$61,'Material impact data'!V$15,0)/VLOOKUP($H84,'Material impact data'!$E$19:$AM$61,4,0)*$I84</f>
        <v>0</v>
      </c>
      <c r="W84" s="138">
        <f>VLOOKUP($H84,'Material impact data'!$E$19:$AM$61,'Material impact data'!W$15,0)/VLOOKUP($H84,'Material impact data'!$E$19:$AM$61,4,0)*$I84</f>
        <v>0</v>
      </c>
      <c r="X84" s="138">
        <f>VLOOKUP($H84,'Material impact data'!$E$19:$AM$61,'Material impact data'!X$15,0)/VLOOKUP($H84,'Material impact data'!$E$19:$AM$61,4,0)*$I84</f>
        <v>0</v>
      </c>
      <c r="Y84" s="138">
        <f>VLOOKUP($H84,'Material impact data'!$E$19:$AM$61,'Material impact data'!Y$15,0)/VLOOKUP($H84,'Material impact data'!$E$19:$AM$61,4,0)*$I84</f>
        <v>0</v>
      </c>
      <c r="Z84" s="180">
        <f>VLOOKUP($H84,'Material impact data'!$E$19:$AM$61,'Material impact data'!Z$15,0)/VLOOKUP($H84,'Material impact data'!$E$19:$AM$61,4,0)*$I84</f>
        <v>0</v>
      </c>
      <c r="AA84" s="180">
        <f>VLOOKUP($H84,'Material impact data'!$E$19:$AM$61,'Material impact data'!AA$15,0)/VLOOKUP($H84,'Material impact data'!$E$19:$AM$61,4,0)*$I84</f>
        <v>0</v>
      </c>
      <c r="AB84" s="180">
        <f>VLOOKUP($H84,'Material impact data'!$E$19:$AM$61,'Material impact data'!AB$15,0)/VLOOKUP($H84,'Material impact data'!$E$19:$AM$61,4,0)*$I84</f>
        <v>0</v>
      </c>
      <c r="AC84" s="180">
        <f>VLOOKUP($H84,'Material impact data'!$E$19:$AM$61,'Material impact data'!AC$15,0)/VLOOKUP($H84,'Material impact data'!$E$19:$AM$61,4,0)*$I84</f>
        <v>0</v>
      </c>
      <c r="AD84" s="180">
        <f>VLOOKUP($H84,'Material impact data'!$E$19:$AM$61,'Material impact data'!AD$15,0)/VLOOKUP($H84,'Material impact data'!$E$19:$AM$61,4,0)*$I84</f>
        <v>0</v>
      </c>
      <c r="AE84" s="180">
        <f>VLOOKUP($H84,'Material impact data'!$E$19:$AM$61,'Material impact data'!AE$15,0)/VLOOKUP($H84,'Material impact data'!$E$19:$AM$61,4,0)*$I84</f>
        <v>0</v>
      </c>
      <c r="AF84" s="180">
        <f>VLOOKUP($H84,'Material impact data'!$E$19:$AM$61,'Material impact data'!AF$15,0)/VLOOKUP($H84,'Material impact data'!$E$19:$AM$61,4,0)*$I84</f>
        <v>0</v>
      </c>
      <c r="AG84" s="179">
        <f>VLOOKUP($H84,'Material impact data'!$E$19:$AM$61,'Material impact data'!AG$15,0)/VLOOKUP($H84,'Material impact data'!$E$19:$AM$61,4,0)*$I84</f>
        <v>0</v>
      </c>
      <c r="AH84" s="179">
        <f>VLOOKUP($H84,'Material impact data'!$E$19:$AM$61,'Material impact data'!AH$15,0)/VLOOKUP($H84,'Material impact data'!$E$19:$AM$61,4,0)*$I84</f>
        <v>0</v>
      </c>
      <c r="AI84" s="179">
        <f>VLOOKUP($H84,'Material impact data'!$E$19:$AM$61,'Material impact data'!AI$15,0)/VLOOKUP($H84,'Material impact data'!$E$19:$AM$61,4,0)*$I84</f>
        <v>0</v>
      </c>
      <c r="AJ84" s="179">
        <f>VLOOKUP($H84,'Material impact data'!$E$19:$AM$61,'Material impact data'!AJ$15,0)/VLOOKUP($H84,'Material impact data'!$E$19:$AM$61,4,0)*$I84</f>
        <v>0</v>
      </c>
      <c r="AK84" s="179">
        <f>VLOOKUP($H84,'Material impact data'!$E$19:$AM$61,'Material impact data'!AK$15,0)/VLOOKUP($H84,'Material impact data'!$E$19:$AM$61,4,0)*$I84</f>
        <v>0</v>
      </c>
      <c r="AL84" s="179">
        <f>VLOOKUP($H84,'Material impact data'!$E$19:$AM$61,'Material impact data'!AL$15,0)/VLOOKUP($H84,'Material impact data'!$E$19:$AM$61,4,0)*$I84</f>
        <v>0</v>
      </c>
      <c r="AM84" s="179">
        <f>VLOOKUP($H84,'Material impact data'!$E$19:$AM$61,'Material impact data'!AM$15,0)/VLOOKUP($H84,'Material impact data'!$E$19:$AM$61,4,0)*$I84</f>
        <v>0</v>
      </c>
      <c r="AO84" s="189">
        <f>M84/'Building &amp; Material inputs'!$C$18/'Building &amp; Material inputs'!$C$19</f>
        <v>0</v>
      </c>
      <c r="AP84" s="189">
        <f>N84/'Building &amp; Material inputs'!$C$18/'Building &amp; Material inputs'!$C$19</f>
        <v>0</v>
      </c>
      <c r="AQ84" s="141">
        <f>O84/'Building &amp; Material inputs'!$C$18/'Building &amp; Material inputs'!$C$19</f>
        <v>0</v>
      </c>
      <c r="AR84" s="141">
        <f>P84/'Building &amp; Material inputs'!$C$18/'Building &amp; Material inputs'!$C$19</f>
        <v>0</v>
      </c>
      <c r="AS84" s="188">
        <f>Q84/'Building &amp; Material inputs'!$C$18/'Building &amp; Material inputs'!$C$19</f>
        <v>0</v>
      </c>
      <c r="AT84" s="188">
        <f>R84/'Building &amp; Material inputs'!$C$18/'Building &amp; Material inputs'!$C$19</f>
        <v>0</v>
      </c>
      <c r="AU84" s="189">
        <f>S84/'Building &amp; Material inputs'!$C$18/'Building &amp; Material inputs'!$C$19</f>
        <v>0</v>
      </c>
      <c r="AV84" s="189">
        <f>T84/'Building &amp; Material inputs'!$C$18/'Building &amp; Material inputs'!$C$19</f>
        <v>0</v>
      </c>
      <c r="AW84" s="189">
        <f>U84/'Building &amp; Material inputs'!$C$18/'Building &amp; Material inputs'!$C$19</f>
        <v>0</v>
      </c>
      <c r="AX84" s="189">
        <f>V84/'Building &amp; Material inputs'!$C$18/'Building &amp; Material inputs'!$C$19</f>
        <v>0</v>
      </c>
      <c r="AY84" s="189">
        <f>W84/'Building &amp; Material inputs'!$C$18/'Building &amp; Material inputs'!$C$19</f>
        <v>0</v>
      </c>
      <c r="AZ84" s="189">
        <f>X84/'Building &amp; Material inputs'!$C$18/'Building &amp; Material inputs'!$C$19</f>
        <v>0</v>
      </c>
      <c r="BA84" s="189">
        <f>Y84/'Building &amp; Material inputs'!$C$18/'Building &amp; Material inputs'!$C$19</f>
        <v>0</v>
      </c>
      <c r="BB84" s="141">
        <f>Z84/'Building &amp; Material inputs'!$C$18/'Building &amp; Material inputs'!$C$19</f>
        <v>0</v>
      </c>
      <c r="BC84" s="141">
        <f>AA84/'Building &amp; Material inputs'!$C$18/'Building &amp; Material inputs'!$C$19</f>
        <v>0</v>
      </c>
      <c r="BD84" s="141">
        <f>AB84/'Building &amp; Material inputs'!$C$18/'Building &amp; Material inputs'!$C$19</f>
        <v>0</v>
      </c>
      <c r="BE84" s="141">
        <f>AC84/'Building &amp; Material inputs'!$C$18/'Building &amp; Material inputs'!$C$19</f>
        <v>0</v>
      </c>
      <c r="BF84" s="141">
        <f>AD84/'Building &amp; Material inputs'!$C$18/'Building &amp; Material inputs'!$C$19</f>
        <v>0</v>
      </c>
      <c r="BG84" s="141">
        <f>AE84/'Building &amp; Material inputs'!$C$18/'Building &amp; Material inputs'!$C$19</f>
        <v>0</v>
      </c>
      <c r="BH84" s="141">
        <f>AF84/'Building &amp; Material inputs'!$C$18/'Building &amp; Material inputs'!$C$19</f>
        <v>0</v>
      </c>
      <c r="BI84" s="188">
        <f>AG84/'Building &amp; Material inputs'!$C$18/'Building &amp; Material inputs'!$C$19</f>
        <v>0</v>
      </c>
      <c r="BJ84" s="188">
        <f>AH84/'Building &amp; Material inputs'!$C$18/'Building &amp; Material inputs'!$C$19</f>
        <v>0</v>
      </c>
      <c r="BK84" s="188">
        <f>AI84/'Building &amp; Material inputs'!$C$18/'Building &amp; Material inputs'!$C$19</f>
        <v>0</v>
      </c>
      <c r="BL84" s="188">
        <f>AJ84/'Building &amp; Material inputs'!$C$18/'Building &amp; Material inputs'!$C$19</f>
        <v>0</v>
      </c>
      <c r="BM84" s="188">
        <f>AK84/'Building &amp; Material inputs'!$C$18/'Building &amp; Material inputs'!$C$19</f>
        <v>0</v>
      </c>
      <c r="BN84" s="188">
        <f>AL84/'Building &amp; Material inputs'!$C$18/'Building &amp; Material inputs'!$C$19</f>
        <v>0</v>
      </c>
      <c r="BO84" s="188">
        <f>AM84/'Building &amp; Material inputs'!$C$18/'Building &amp; Material inputs'!$C$19</f>
        <v>0</v>
      </c>
    </row>
    <row r="85" spans="2:67" x14ac:dyDescent="0.25">
      <c r="B85" s="334"/>
      <c r="C85" s="305"/>
      <c r="D85" s="302"/>
      <c r="E85" s="303"/>
      <c r="F85" s="80" t="s">
        <v>179</v>
      </c>
      <c r="G85" s="66" t="s">
        <v>57</v>
      </c>
      <c r="H85" s="7" t="str">
        <f>'Material quantities'!G85</f>
        <v>MWOOL</v>
      </c>
      <c r="I85" s="38">
        <f>'Material quantities'!O85</f>
        <v>0</v>
      </c>
      <c r="J85" s="68"/>
      <c r="K85" s="2"/>
      <c r="L85" s="144">
        <f>VLOOKUP($H85,'Material impact data'!$E$19:$AM$61,6,0)/VLOOKUP($H85,'Material impact data'!$E$19:$AM$61,4,0)*$I85</f>
        <v>0</v>
      </c>
      <c r="M85" s="138">
        <f>VLOOKUP($H85,'Material impact data'!$E$19:$AM$61,'Material impact data'!M$15,0)/VLOOKUP($H85,'Material impact data'!$E$19:$AM$61,4,0)*$I85</f>
        <v>0</v>
      </c>
      <c r="N85" s="138">
        <f>VLOOKUP($H85,'Material impact data'!$E$19:$AM$61,'Material impact data'!N$15,0)/VLOOKUP($H85,'Material impact data'!$E$19:$AM$61,4,0)*$I85</f>
        <v>0</v>
      </c>
      <c r="O85" s="180">
        <f>VLOOKUP($H85,'Material impact data'!$E$19:$AM$61,'Material impact data'!O$15,0)/VLOOKUP($H85,'Material impact data'!$E$19:$AM$61,4,0)*$I85</f>
        <v>0</v>
      </c>
      <c r="P85" s="180">
        <f>VLOOKUP($H85,'Material impact data'!$E$19:$AM$61,'Material impact data'!P$15,0)/VLOOKUP($H85,'Material impact data'!$E$19:$AM$61,4,0)*$I85</f>
        <v>0</v>
      </c>
      <c r="Q85" s="179">
        <f>VLOOKUP($H85,'Material impact data'!$E$19:$AM$61,'Material impact data'!Q$15,0)/VLOOKUP($H85,'Material impact data'!$E$19:$AM$61,4,0)*$I85</f>
        <v>0</v>
      </c>
      <c r="R85" s="179">
        <f>VLOOKUP($H85,'Material impact data'!$E$19:$AM$61,'Material impact data'!R$15,0)/VLOOKUP($H85,'Material impact data'!$E$19:$AM$61,4,0)*$I85</f>
        <v>0</v>
      </c>
      <c r="S85" s="138">
        <f>VLOOKUP($H85,'Material impact data'!$E$19:$AM$61,'Material impact data'!S$15,0)/VLOOKUP($H85,'Material impact data'!$E$19:$AM$61,4,0)*$I85</f>
        <v>0</v>
      </c>
      <c r="T85" s="138">
        <f>VLOOKUP($H85,'Material impact data'!$E$19:$AM$61,'Material impact data'!T$15,0)/VLOOKUP($H85,'Material impact data'!$E$19:$AM$61,4,0)*$I85</f>
        <v>0</v>
      </c>
      <c r="U85" s="138">
        <f>VLOOKUP($H85,'Material impact data'!$E$19:$AM$61,'Material impact data'!U$15,0)/VLOOKUP($H85,'Material impact data'!$E$19:$AM$61,4,0)*$I85</f>
        <v>0</v>
      </c>
      <c r="V85" s="138">
        <f>VLOOKUP($H85,'Material impact data'!$E$19:$AM$61,'Material impact data'!V$15,0)/VLOOKUP($H85,'Material impact data'!$E$19:$AM$61,4,0)*$I85</f>
        <v>0</v>
      </c>
      <c r="W85" s="138">
        <f>VLOOKUP($H85,'Material impact data'!$E$19:$AM$61,'Material impact data'!W$15,0)/VLOOKUP($H85,'Material impact data'!$E$19:$AM$61,4,0)*$I85</f>
        <v>0</v>
      </c>
      <c r="X85" s="138">
        <f>VLOOKUP($H85,'Material impact data'!$E$19:$AM$61,'Material impact data'!X$15,0)/VLOOKUP($H85,'Material impact data'!$E$19:$AM$61,4,0)*$I85</f>
        <v>0</v>
      </c>
      <c r="Y85" s="138">
        <f>VLOOKUP($H85,'Material impact data'!$E$19:$AM$61,'Material impact data'!Y$15,0)/VLOOKUP($H85,'Material impact data'!$E$19:$AM$61,4,0)*$I85</f>
        <v>0</v>
      </c>
      <c r="Z85" s="180">
        <f>VLOOKUP($H85,'Material impact data'!$E$19:$AM$61,'Material impact data'!Z$15,0)/VLOOKUP($H85,'Material impact data'!$E$19:$AM$61,4,0)*$I85</f>
        <v>0</v>
      </c>
      <c r="AA85" s="180">
        <f>VLOOKUP($H85,'Material impact data'!$E$19:$AM$61,'Material impact data'!AA$15,0)/VLOOKUP($H85,'Material impact data'!$E$19:$AM$61,4,0)*$I85</f>
        <v>0</v>
      </c>
      <c r="AB85" s="180">
        <f>VLOOKUP($H85,'Material impact data'!$E$19:$AM$61,'Material impact data'!AB$15,0)/VLOOKUP($H85,'Material impact data'!$E$19:$AM$61,4,0)*$I85</f>
        <v>0</v>
      </c>
      <c r="AC85" s="180">
        <f>VLOOKUP($H85,'Material impact data'!$E$19:$AM$61,'Material impact data'!AC$15,0)/VLOOKUP($H85,'Material impact data'!$E$19:$AM$61,4,0)*$I85</f>
        <v>0</v>
      </c>
      <c r="AD85" s="180">
        <f>VLOOKUP($H85,'Material impact data'!$E$19:$AM$61,'Material impact data'!AD$15,0)/VLOOKUP($H85,'Material impact data'!$E$19:$AM$61,4,0)*$I85</f>
        <v>0</v>
      </c>
      <c r="AE85" s="180">
        <f>VLOOKUP($H85,'Material impact data'!$E$19:$AM$61,'Material impact data'!AE$15,0)/VLOOKUP($H85,'Material impact data'!$E$19:$AM$61,4,0)*$I85</f>
        <v>0</v>
      </c>
      <c r="AF85" s="180">
        <f>VLOOKUP($H85,'Material impact data'!$E$19:$AM$61,'Material impact data'!AF$15,0)/VLOOKUP($H85,'Material impact data'!$E$19:$AM$61,4,0)*$I85</f>
        <v>0</v>
      </c>
      <c r="AG85" s="179">
        <f>VLOOKUP($H85,'Material impact data'!$E$19:$AM$61,'Material impact data'!AG$15,0)/VLOOKUP($H85,'Material impact data'!$E$19:$AM$61,4,0)*$I85</f>
        <v>0</v>
      </c>
      <c r="AH85" s="179">
        <f>VLOOKUP($H85,'Material impact data'!$E$19:$AM$61,'Material impact data'!AH$15,0)/VLOOKUP($H85,'Material impact data'!$E$19:$AM$61,4,0)*$I85</f>
        <v>0</v>
      </c>
      <c r="AI85" s="179">
        <f>VLOOKUP($H85,'Material impact data'!$E$19:$AM$61,'Material impact data'!AI$15,0)/VLOOKUP($H85,'Material impact data'!$E$19:$AM$61,4,0)*$I85</f>
        <v>0</v>
      </c>
      <c r="AJ85" s="179">
        <f>VLOOKUP($H85,'Material impact data'!$E$19:$AM$61,'Material impact data'!AJ$15,0)/VLOOKUP($H85,'Material impact data'!$E$19:$AM$61,4,0)*$I85</f>
        <v>0</v>
      </c>
      <c r="AK85" s="179">
        <f>VLOOKUP($H85,'Material impact data'!$E$19:$AM$61,'Material impact data'!AK$15,0)/VLOOKUP($H85,'Material impact data'!$E$19:$AM$61,4,0)*$I85</f>
        <v>0</v>
      </c>
      <c r="AL85" s="179">
        <f>VLOOKUP($H85,'Material impact data'!$E$19:$AM$61,'Material impact data'!AL$15,0)/VLOOKUP($H85,'Material impact data'!$E$19:$AM$61,4,0)*$I85</f>
        <v>0</v>
      </c>
      <c r="AM85" s="179">
        <f>VLOOKUP($H85,'Material impact data'!$E$19:$AM$61,'Material impact data'!AM$15,0)/VLOOKUP($H85,'Material impact data'!$E$19:$AM$61,4,0)*$I85</f>
        <v>0</v>
      </c>
      <c r="AO85" s="189">
        <f>M85/'Building &amp; Material inputs'!$C$18/'Building &amp; Material inputs'!$C$19</f>
        <v>0</v>
      </c>
      <c r="AP85" s="189">
        <f>N85/'Building &amp; Material inputs'!$C$18/'Building &amp; Material inputs'!$C$19</f>
        <v>0</v>
      </c>
      <c r="AQ85" s="141">
        <f>O85/'Building &amp; Material inputs'!$C$18/'Building &amp; Material inputs'!$C$19</f>
        <v>0</v>
      </c>
      <c r="AR85" s="141">
        <f>P85/'Building &amp; Material inputs'!$C$18/'Building &amp; Material inputs'!$C$19</f>
        <v>0</v>
      </c>
      <c r="AS85" s="188">
        <f>Q85/'Building &amp; Material inputs'!$C$18/'Building &amp; Material inputs'!$C$19</f>
        <v>0</v>
      </c>
      <c r="AT85" s="188">
        <f>R85/'Building &amp; Material inputs'!$C$18/'Building &amp; Material inputs'!$C$19</f>
        <v>0</v>
      </c>
      <c r="AU85" s="189">
        <f>S85/'Building &amp; Material inputs'!$C$18/'Building &amp; Material inputs'!$C$19</f>
        <v>0</v>
      </c>
      <c r="AV85" s="189">
        <f>T85/'Building &amp; Material inputs'!$C$18/'Building &amp; Material inputs'!$C$19</f>
        <v>0</v>
      </c>
      <c r="AW85" s="189">
        <f>U85/'Building &amp; Material inputs'!$C$18/'Building &amp; Material inputs'!$C$19</f>
        <v>0</v>
      </c>
      <c r="AX85" s="189">
        <f>V85/'Building &amp; Material inputs'!$C$18/'Building &amp; Material inputs'!$C$19</f>
        <v>0</v>
      </c>
      <c r="AY85" s="189">
        <f>W85/'Building &amp; Material inputs'!$C$18/'Building &amp; Material inputs'!$C$19</f>
        <v>0</v>
      </c>
      <c r="AZ85" s="189">
        <f>X85/'Building &amp; Material inputs'!$C$18/'Building &amp; Material inputs'!$C$19</f>
        <v>0</v>
      </c>
      <c r="BA85" s="189">
        <f>Y85/'Building &amp; Material inputs'!$C$18/'Building &amp; Material inputs'!$C$19</f>
        <v>0</v>
      </c>
      <c r="BB85" s="141">
        <f>Z85/'Building &amp; Material inputs'!$C$18/'Building &amp; Material inputs'!$C$19</f>
        <v>0</v>
      </c>
      <c r="BC85" s="141">
        <f>AA85/'Building &amp; Material inputs'!$C$18/'Building &amp; Material inputs'!$C$19</f>
        <v>0</v>
      </c>
      <c r="BD85" s="141">
        <f>AB85/'Building &amp; Material inputs'!$C$18/'Building &amp; Material inputs'!$C$19</f>
        <v>0</v>
      </c>
      <c r="BE85" s="141">
        <f>AC85/'Building &amp; Material inputs'!$C$18/'Building &amp; Material inputs'!$C$19</f>
        <v>0</v>
      </c>
      <c r="BF85" s="141">
        <f>AD85/'Building &amp; Material inputs'!$C$18/'Building &amp; Material inputs'!$C$19</f>
        <v>0</v>
      </c>
      <c r="BG85" s="141">
        <f>AE85/'Building &amp; Material inputs'!$C$18/'Building &amp; Material inputs'!$C$19</f>
        <v>0</v>
      </c>
      <c r="BH85" s="141">
        <f>AF85/'Building &amp; Material inputs'!$C$18/'Building &amp; Material inputs'!$C$19</f>
        <v>0</v>
      </c>
      <c r="BI85" s="188">
        <f>AG85/'Building &amp; Material inputs'!$C$18/'Building &amp; Material inputs'!$C$19</f>
        <v>0</v>
      </c>
      <c r="BJ85" s="188">
        <f>AH85/'Building &amp; Material inputs'!$C$18/'Building &amp; Material inputs'!$C$19</f>
        <v>0</v>
      </c>
      <c r="BK85" s="188">
        <f>AI85/'Building &amp; Material inputs'!$C$18/'Building &amp; Material inputs'!$C$19</f>
        <v>0</v>
      </c>
      <c r="BL85" s="188">
        <f>AJ85/'Building &amp; Material inputs'!$C$18/'Building &amp; Material inputs'!$C$19</f>
        <v>0</v>
      </c>
      <c r="BM85" s="188">
        <f>AK85/'Building &amp; Material inputs'!$C$18/'Building &amp; Material inputs'!$C$19</f>
        <v>0</v>
      </c>
      <c r="BN85" s="188">
        <f>AL85/'Building &amp; Material inputs'!$C$18/'Building &amp; Material inputs'!$C$19</f>
        <v>0</v>
      </c>
      <c r="BO85" s="188">
        <f>AM85/'Building &amp; Material inputs'!$C$18/'Building &amp; Material inputs'!$C$19</f>
        <v>0</v>
      </c>
    </row>
    <row r="86" spans="2:67" x14ac:dyDescent="0.25">
      <c r="B86" s="334"/>
      <c r="C86" s="305"/>
      <c r="D86" s="302"/>
      <c r="E86" s="303"/>
      <c r="F86" s="80" t="s">
        <v>180</v>
      </c>
      <c r="G86" s="66" t="s">
        <v>96</v>
      </c>
      <c r="H86" s="7" t="str">
        <f>'Material quantities'!G86</f>
        <v>GLT</v>
      </c>
      <c r="I86" s="38">
        <f>'Material quantities'!O86</f>
        <v>0</v>
      </c>
      <c r="J86" s="68" t="s">
        <v>14</v>
      </c>
      <c r="K86" s="2"/>
      <c r="L86" s="144">
        <f>VLOOKUP($H86,'Material impact data'!$E$19:$AM$61,6,0)/VLOOKUP($H86,'Material impact data'!$E$19:$AM$61,4,0)*$I86</f>
        <v>0</v>
      </c>
      <c r="M86" s="138">
        <f>VLOOKUP($H86,'Material impact data'!$E$19:$AM$61,'Material impact data'!M$15,0)/VLOOKUP($H86,'Material impact data'!$E$19:$AM$61,4,0)*$I86</f>
        <v>0</v>
      </c>
      <c r="N86" s="138">
        <f>VLOOKUP($H86,'Material impact data'!$E$19:$AM$61,'Material impact data'!N$15,0)/VLOOKUP($H86,'Material impact data'!$E$19:$AM$61,4,0)*$I86</f>
        <v>0</v>
      </c>
      <c r="O86" s="180">
        <f>VLOOKUP($H86,'Material impact data'!$E$19:$AM$61,'Material impact data'!O$15,0)/VLOOKUP($H86,'Material impact data'!$E$19:$AM$61,4,0)*$I86</f>
        <v>0</v>
      </c>
      <c r="P86" s="180">
        <f>VLOOKUP($H86,'Material impact data'!$E$19:$AM$61,'Material impact data'!P$15,0)/VLOOKUP($H86,'Material impact data'!$E$19:$AM$61,4,0)*$I86</f>
        <v>0</v>
      </c>
      <c r="Q86" s="179">
        <f>VLOOKUP($H86,'Material impact data'!$E$19:$AM$61,'Material impact data'!Q$15,0)/VLOOKUP($H86,'Material impact data'!$E$19:$AM$61,4,0)*$I86</f>
        <v>0</v>
      </c>
      <c r="R86" s="179">
        <f>VLOOKUP($H86,'Material impact data'!$E$19:$AM$61,'Material impact data'!R$15,0)/VLOOKUP($H86,'Material impact data'!$E$19:$AM$61,4,0)*$I86</f>
        <v>0</v>
      </c>
      <c r="S86" s="138">
        <f>VLOOKUP($H86,'Material impact data'!$E$19:$AM$61,'Material impact data'!S$15,0)/VLOOKUP($H86,'Material impact data'!$E$19:$AM$61,4,0)*$I86</f>
        <v>0</v>
      </c>
      <c r="T86" s="138">
        <f>VLOOKUP($H86,'Material impact data'!$E$19:$AM$61,'Material impact data'!T$15,0)/VLOOKUP($H86,'Material impact data'!$E$19:$AM$61,4,0)*$I86</f>
        <v>0</v>
      </c>
      <c r="U86" s="138">
        <f>VLOOKUP($H86,'Material impact data'!$E$19:$AM$61,'Material impact data'!U$15,0)/VLOOKUP($H86,'Material impact data'!$E$19:$AM$61,4,0)*$I86</f>
        <v>0</v>
      </c>
      <c r="V86" s="138">
        <f>VLOOKUP($H86,'Material impact data'!$E$19:$AM$61,'Material impact data'!V$15,0)/VLOOKUP($H86,'Material impact data'!$E$19:$AM$61,4,0)*$I86</f>
        <v>0</v>
      </c>
      <c r="W86" s="138">
        <f>VLOOKUP($H86,'Material impact data'!$E$19:$AM$61,'Material impact data'!W$15,0)/VLOOKUP($H86,'Material impact data'!$E$19:$AM$61,4,0)*$I86</f>
        <v>0</v>
      </c>
      <c r="X86" s="138">
        <f>VLOOKUP($H86,'Material impact data'!$E$19:$AM$61,'Material impact data'!X$15,0)/VLOOKUP($H86,'Material impact data'!$E$19:$AM$61,4,0)*$I86</f>
        <v>0</v>
      </c>
      <c r="Y86" s="138">
        <f>VLOOKUP($H86,'Material impact data'!$E$19:$AM$61,'Material impact data'!Y$15,0)/VLOOKUP($H86,'Material impact data'!$E$19:$AM$61,4,0)*$I86</f>
        <v>0</v>
      </c>
      <c r="Z86" s="180">
        <f>VLOOKUP($H86,'Material impact data'!$E$19:$AM$61,'Material impact data'!Z$15,0)/VLOOKUP($H86,'Material impact data'!$E$19:$AM$61,4,0)*$I86</f>
        <v>0</v>
      </c>
      <c r="AA86" s="180">
        <f>VLOOKUP($H86,'Material impact data'!$E$19:$AM$61,'Material impact data'!AA$15,0)/VLOOKUP($H86,'Material impact data'!$E$19:$AM$61,4,0)*$I86</f>
        <v>0</v>
      </c>
      <c r="AB86" s="180">
        <f>VLOOKUP($H86,'Material impact data'!$E$19:$AM$61,'Material impact data'!AB$15,0)/VLOOKUP($H86,'Material impact data'!$E$19:$AM$61,4,0)*$I86</f>
        <v>0</v>
      </c>
      <c r="AC86" s="180">
        <f>VLOOKUP($H86,'Material impact data'!$E$19:$AM$61,'Material impact data'!AC$15,0)/VLOOKUP($H86,'Material impact data'!$E$19:$AM$61,4,0)*$I86</f>
        <v>0</v>
      </c>
      <c r="AD86" s="180">
        <f>VLOOKUP($H86,'Material impact data'!$E$19:$AM$61,'Material impact data'!AD$15,0)/VLOOKUP($H86,'Material impact data'!$E$19:$AM$61,4,0)*$I86</f>
        <v>0</v>
      </c>
      <c r="AE86" s="180">
        <f>VLOOKUP($H86,'Material impact data'!$E$19:$AM$61,'Material impact data'!AE$15,0)/VLOOKUP($H86,'Material impact data'!$E$19:$AM$61,4,0)*$I86</f>
        <v>0</v>
      </c>
      <c r="AF86" s="180">
        <f>VLOOKUP($H86,'Material impact data'!$E$19:$AM$61,'Material impact data'!AF$15,0)/VLOOKUP($H86,'Material impact data'!$E$19:$AM$61,4,0)*$I86</f>
        <v>0</v>
      </c>
      <c r="AG86" s="179">
        <f>VLOOKUP($H86,'Material impact data'!$E$19:$AM$61,'Material impact data'!AG$15,0)/VLOOKUP($H86,'Material impact data'!$E$19:$AM$61,4,0)*$I86</f>
        <v>0</v>
      </c>
      <c r="AH86" s="179">
        <f>VLOOKUP($H86,'Material impact data'!$E$19:$AM$61,'Material impact data'!AH$15,0)/VLOOKUP($H86,'Material impact data'!$E$19:$AM$61,4,0)*$I86</f>
        <v>0</v>
      </c>
      <c r="AI86" s="179">
        <f>VLOOKUP($H86,'Material impact data'!$E$19:$AM$61,'Material impact data'!AI$15,0)/VLOOKUP($H86,'Material impact data'!$E$19:$AM$61,4,0)*$I86</f>
        <v>0</v>
      </c>
      <c r="AJ86" s="179">
        <f>VLOOKUP($H86,'Material impact data'!$E$19:$AM$61,'Material impact data'!AJ$15,0)/VLOOKUP($H86,'Material impact data'!$E$19:$AM$61,4,0)*$I86</f>
        <v>0</v>
      </c>
      <c r="AK86" s="179">
        <f>VLOOKUP($H86,'Material impact data'!$E$19:$AM$61,'Material impact data'!AK$15,0)/VLOOKUP($H86,'Material impact data'!$E$19:$AM$61,4,0)*$I86</f>
        <v>0</v>
      </c>
      <c r="AL86" s="179">
        <f>VLOOKUP($H86,'Material impact data'!$E$19:$AM$61,'Material impact data'!AL$15,0)/VLOOKUP($H86,'Material impact data'!$E$19:$AM$61,4,0)*$I86</f>
        <v>0</v>
      </c>
      <c r="AM86" s="179">
        <f>VLOOKUP($H86,'Material impact data'!$E$19:$AM$61,'Material impact data'!AM$15,0)/VLOOKUP($H86,'Material impact data'!$E$19:$AM$61,4,0)*$I86</f>
        <v>0</v>
      </c>
      <c r="AO86" s="189">
        <f>M86/'Building &amp; Material inputs'!$C$18/'Building &amp; Material inputs'!$C$19</f>
        <v>0</v>
      </c>
      <c r="AP86" s="189">
        <f>N86/'Building &amp; Material inputs'!$C$18/'Building &amp; Material inputs'!$C$19</f>
        <v>0</v>
      </c>
      <c r="AQ86" s="141">
        <f>O86/'Building &amp; Material inputs'!$C$18/'Building &amp; Material inputs'!$C$19</f>
        <v>0</v>
      </c>
      <c r="AR86" s="141">
        <f>P86/'Building &amp; Material inputs'!$C$18/'Building &amp; Material inputs'!$C$19</f>
        <v>0</v>
      </c>
      <c r="AS86" s="188">
        <f>Q86/'Building &amp; Material inputs'!$C$18/'Building &amp; Material inputs'!$C$19</f>
        <v>0</v>
      </c>
      <c r="AT86" s="188">
        <f>R86/'Building &amp; Material inputs'!$C$18/'Building &amp; Material inputs'!$C$19</f>
        <v>0</v>
      </c>
      <c r="AU86" s="189">
        <f>S86/'Building &amp; Material inputs'!$C$18/'Building &amp; Material inputs'!$C$19</f>
        <v>0</v>
      </c>
      <c r="AV86" s="189">
        <f>T86/'Building &amp; Material inputs'!$C$18/'Building &amp; Material inputs'!$C$19</f>
        <v>0</v>
      </c>
      <c r="AW86" s="189">
        <f>U86/'Building &amp; Material inputs'!$C$18/'Building &amp; Material inputs'!$C$19</f>
        <v>0</v>
      </c>
      <c r="AX86" s="189">
        <f>V86/'Building &amp; Material inputs'!$C$18/'Building &amp; Material inputs'!$C$19</f>
        <v>0</v>
      </c>
      <c r="AY86" s="189">
        <f>W86/'Building &amp; Material inputs'!$C$18/'Building &amp; Material inputs'!$C$19</f>
        <v>0</v>
      </c>
      <c r="AZ86" s="189">
        <f>X86/'Building &amp; Material inputs'!$C$18/'Building &amp; Material inputs'!$C$19</f>
        <v>0</v>
      </c>
      <c r="BA86" s="189">
        <f>Y86/'Building &amp; Material inputs'!$C$18/'Building &amp; Material inputs'!$C$19</f>
        <v>0</v>
      </c>
      <c r="BB86" s="141">
        <f>Z86/'Building &amp; Material inputs'!$C$18/'Building &amp; Material inputs'!$C$19</f>
        <v>0</v>
      </c>
      <c r="BC86" s="141">
        <f>AA86/'Building &amp; Material inputs'!$C$18/'Building &amp; Material inputs'!$C$19</f>
        <v>0</v>
      </c>
      <c r="BD86" s="141">
        <f>AB86/'Building &amp; Material inputs'!$C$18/'Building &amp; Material inputs'!$C$19</f>
        <v>0</v>
      </c>
      <c r="BE86" s="141">
        <f>AC86/'Building &amp; Material inputs'!$C$18/'Building &amp; Material inputs'!$C$19</f>
        <v>0</v>
      </c>
      <c r="BF86" s="141">
        <f>AD86/'Building &amp; Material inputs'!$C$18/'Building &amp; Material inputs'!$C$19</f>
        <v>0</v>
      </c>
      <c r="BG86" s="141">
        <f>AE86/'Building &amp; Material inputs'!$C$18/'Building &amp; Material inputs'!$C$19</f>
        <v>0</v>
      </c>
      <c r="BH86" s="141">
        <f>AF86/'Building &amp; Material inputs'!$C$18/'Building &amp; Material inputs'!$C$19</f>
        <v>0</v>
      </c>
      <c r="BI86" s="188">
        <f>AG86/'Building &amp; Material inputs'!$C$18/'Building &amp; Material inputs'!$C$19</f>
        <v>0</v>
      </c>
      <c r="BJ86" s="188">
        <f>AH86/'Building &amp; Material inputs'!$C$18/'Building &amp; Material inputs'!$C$19</f>
        <v>0</v>
      </c>
      <c r="BK86" s="188">
        <f>AI86/'Building &amp; Material inputs'!$C$18/'Building &amp; Material inputs'!$C$19</f>
        <v>0</v>
      </c>
      <c r="BL86" s="188">
        <f>AJ86/'Building &amp; Material inputs'!$C$18/'Building &amp; Material inputs'!$C$19</f>
        <v>0</v>
      </c>
      <c r="BM86" s="188">
        <f>AK86/'Building &amp; Material inputs'!$C$18/'Building &amp; Material inputs'!$C$19</f>
        <v>0</v>
      </c>
      <c r="BN86" s="188">
        <f>AL86/'Building &amp; Material inputs'!$C$18/'Building &amp; Material inputs'!$C$19</f>
        <v>0</v>
      </c>
      <c r="BO86" s="188">
        <f>AM86/'Building &amp; Material inputs'!$C$18/'Building &amp; Material inputs'!$C$19</f>
        <v>0</v>
      </c>
    </row>
    <row r="87" spans="2:67" x14ac:dyDescent="0.25">
      <c r="B87" s="334"/>
      <c r="C87" s="305"/>
      <c r="D87" s="302"/>
      <c r="E87" s="303"/>
      <c r="F87" s="80" t="s">
        <v>596</v>
      </c>
      <c r="G87" s="66" t="s">
        <v>367</v>
      </c>
      <c r="H87" s="7" t="str">
        <f>'Material quantities'!G87</f>
        <v>GYP_P</v>
      </c>
      <c r="I87" s="38">
        <f>'Material quantities'!O87</f>
        <v>0</v>
      </c>
      <c r="J87" s="68" t="s">
        <v>332</v>
      </c>
      <c r="K87" s="2"/>
      <c r="L87" s="144">
        <f>VLOOKUP($H87,'Material impact data'!$E$19:$AM$61,6,0)/VLOOKUP($H87,'Material impact data'!$E$19:$AM$61,4,0)*$I87</f>
        <v>0</v>
      </c>
      <c r="M87" s="138">
        <f>VLOOKUP($H87,'Material impact data'!$E$19:$AM$61,'Material impact data'!M$15,0)/VLOOKUP($H87,'Material impact data'!$E$19:$AM$61,4,0)*$I87</f>
        <v>0</v>
      </c>
      <c r="N87" s="138">
        <f>VLOOKUP($H87,'Material impact data'!$E$19:$AM$61,'Material impact data'!N$15,0)/VLOOKUP($H87,'Material impact data'!$E$19:$AM$61,4,0)*$I87</f>
        <v>0</v>
      </c>
      <c r="O87" s="180">
        <f>VLOOKUP($H87,'Material impact data'!$E$19:$AM$61,'Material impact data'!O$15,0)/VLOOKUP($H87,'Material impact data'!$E$19:$AM$61,4,0)*$I87</f>
        <v>0</v>
      </c>
      <c r="P87" s="180">
        <f>VLOOKUP($H87,'Material impact data'!$E$19:$AM$61,'Material impact data'!P$15,0)/VLOOKUP($H87,'Material impact data'!$E$19:$AM$61,4,0)*$I87</f>
        <v>0</v>
      </c>
      <c r="Q87" s="179">
        <f>VLOOKUP($H87,'Material impact data'!$E$19:$AM$61,'Material impact data'!Q$15,0)/VLOOKUP($H87,'Material impact data'!$E$19:$AM$61,4,0)*$I87</f>
        <v>0</v>
      </c>
      <c r="R87" s="179">
        <f>VLOOKUP($H87,'Material impact data'!$E$19:$AM$61,'Material impact data'!R$15,0)/VLOOKUP($H87,'Material impact data'!$E$19:$AM$61,4,0)*$I87</f>
        <v>0</v>
      </c>
      <c r="S87" s="138">
        <f>VLOOKUP($H87,'Material impact data'!$E$19:$AM$61,'Material impact data'!S$15,0)/VLOOKUP($H87,'Material impact data'!$E$19:$AM$61,4,0)*$I87</f>
        <v>0</v>
      </c>
      <c r="T87" s="138">
        <f>VLOOKUP($H87,'Material impact data'!$E$19:$AM$61,'Material impact data'!T$15,0)/VLOOKUP($H87,'Material impact data'!$E$19:$AM$61,4,0)*$I87</f>
        <v>0</v>
      </c>
      <c r="U87" s="138">
        <f>VLOOKUP($H87,'Material impact data'!$E$19:$AM$61,'Material impact data'!U$15,0)/VLOOKUP($H87,'Material impact data'!$E$19:$AM$61,4,0)*$I87</f>
        <v>0</v>
      </c>
      <c r="V87" s="138">
        <f>VLOOKUP($H87,'Material impact data'!$E$19:$AM$61,'Material impact data'!V$15,0)/VLOOKUP($H87,'Material impact data'!$E$19:$AM$61,4,0)*$I87</f>
        <v>0</v>
      </c>
      <c r="W87" s="138">
        <f>VLOOKUP($H87,'Material impact data'!$E$19:$AM$61,'Material impact data'!W$15,0)/VLOOKUP($H87,'Material impact data'!$E$19:$AM$61,4,0)*$I87</f>
        <v>0</v>
      </c>
      <c r="X87" s="138">
        <f>VLOOKUP($H87,'Material impact data'!$E$19:$AM$61,'Material impact data'!X$15,0)/VLOOKUP($H87,'Material impact data'!$E$19:$AM$61,4,0)*$I87</f>
        <v>0</v>
      </c>
      <c r="Y87" s="138">
        <f>VLOOKUP($H87,'Material impact data'!$E$19:$AM$61,'Material impact data'!Y$15,0)/VLOOKUP($H87,'Material impact data'!$E$19:$AM$61,4,0)*$I87</f>
        <v>0</v>
      </c>
      <c r="Z87" s="180">
        <f>VLOOKUP($H87,'Material impact data'!$E$19:$AM$61,'Material impact data'!Z$15,0)/VLOOKUP($H87,'Material impact data'!$E$19:$AM$61,4,0)*$I87</f>
        <v>0</v>
      </c>
      <c r="AA87" s="180">
        <f>VLOOKUP($H87,'Material impact data'!$E$19:$AM$61,'Material impact data'!AA$15,0)/VLOOKUP($H87,'Material impact data'!$E$19:$AM$61,4,0)*$I87</f>
        <v>0</v>
      </c>
      <c r="AB87" s="180">
        <f>VLOOKUP($H87,'Material impact data'!$E$19:$AM$61,'Material impact data'!AB$15,0)/VLOOKUP($H87,'Material impact data'!$E$19:$AM$61,4,0)*$I87</f>
        <v>0</v>
      </c>
      <c r="AC87" s="180">
        <f>VLOOKUP($H87,'Material impact data'!$E$19:$AM$61,'Material impact data'!AC$15,0)/VLOOKUP($H87,'Material impact data'!$E$19:$AM$61,4,0)*$I87</f>
        <v>0</v>
      </c>
      <c r="AD87" s="180">
        <f>VLOOKUP($H87,'Material impact data'!$E$19:$AM$61,'Material impact data'!AD$15,0)/VLOOKUP($H87,'Material impact data'!$E$19:$AM$61,4,0)*$I87</f>
        <v>0</v>
      </c>
      <c r="AE87" s="180">
        <f>VLOOKUP($H87,'Material impact data'!$E$19:$AM$61,'Material impact data'!AE$15,0)/VLOOKUP($H87,'Material impact data'!$E$19:$AM$61,4,0)*$I87</f>
        <v>0</v>
      </c>
      <c r="AF87" s="180">
        <f>VLOOKUP($H87,'Material impact data'!$E$19:$AM$61,'Material impact data'!AF$15,0)/VLOOKUP($H87,'Material impact data'!$E$19:$AM$61,4,0)*$I87</f>
        <v>0</v>
      </c>
      <c r="AG87" s="179">
        <f>VLOOKUP($H87,'Material impact data'!$E$19:$AM$61,'Material impact data'!AG$15,0)/VLOOKUP($H87,'Material impact data'!$E$19:$AM$61,4,0)*$I87</f>
        <v>0</v>
      </c>
      <c r="AH87" s="179">
        <f>VLOOKUP($H87,'Material impact data'!$E$19:$AM$61,'Material impact data'!AH$15,0)/VLOOKUP($H87,'Material impact data'!$E$19:$AM$61,4,0)*$I87</f>
        <v>0</v>
      </c>
      <c r="AI87" s="179">
        <f>VLOOKUP($H87,'Material impact data'!$E$19:$AM$61,'Material impact data'!AI$15,0)/VLOOKUP($H87,'Material impact data'!$E$19:$AM$61,4,0)*$I87</f>
        <v>0</v>
      </c>
      <c r="AJ87" s="179">
        <f>VLOOKUP($H87,'Material impact data'!$E$19:$AM$61,'Material impact data'!AJ$15,0)/VLOOKUP($H87,'Material impact data'!$E$19:$AM$61,4,0)*$I87</f>
        <v>0</v>
      </c>
      <c r="AK87" s="179">
        <f>VLOOKUP($H87,'Material impact data'!$E$19:$AM$61,'Material impact data'!AK$15,0)/VLOOKUP($H87,'Material impact data'!$E$19:$AM$61,4,0)*$I87</f>
        <v>0</v>
      </c>
      <c r="AL87" s="179">
        <f>VLOOKUP($H87,'Material impact data'!$E$19:$AM$61,'Material impact data'!AL$15,0)/VLOOKUP($H87,'Material impact data'!$E$19:$AM$61,4,0)*$I87</f>
        <v>0</v>
      </c>
      <c r="AM87" s="179">
        <f>VLOOKUP($H87,'Material impact data'!$E$19:$AM$61,'Material impact data'!AM$15,0)/VLOOKUP($H87,'Material impact data'!$E$19:$AM$61,4,0)*$I87</f>
        <v>0</v>
      </c>
      <c r="AO87" s="189">
        <f>M87/'Building &amp; Material inputs'!$C$18/'Building &amp; Material inputs'!$C$19</f>
        <v>0</v>
      </c>
      <c r="AP87" s="189">
        <f>N87/'Building &amp; Material inputs'!$C$18/'Building &amp; Material inputs'!$C$19</f>
        <v>0</v>
      </c>
      <c r="AQ87" s="141">
        <f>O87/'Building &amp; Material inputs'!$C$18/'Building &amp; Material inputs'!$C$19</f>
        <v>0</v>
      </c>
      <c r="AR87" s="141">
        <f>P87/'Building &amp; Material inputs'!$C$18/'Building &amp; Material inputs'!$C$19</f>
        <v>0</v>
      </c>
      <c r="AS87" s="188">
        <f>Q87/'Building &amp; Material inputs'!$C$18/'Building &amp; Material inputs'!$C$19</f>
        <v>0</v>
      </c>
      <c r="AT87" s="188">
        <f>R87/'Building &amp; Material inputs'!$C$18/'Building &amp; Material inputs'!$C$19</f>
        <v>0</v>
      </c>
      <c r="AU87" s="189">
        <f>S87/'Building &amp; Material inputs'!$C$18/'Building &amp; Material inputs'!$C$19</f>
        <v>0</v>
      </c>
      <c r="AV87" s="189">
        <f>T87/'Building &amp; Material inputs'!$C$18/'Building &amp; Material inputs'!$C$19</f>
        <v>0</v>
      </c>
      <c r="AW87" s="189">
        <f>U87/'Building &amp; Material inputs'!$C$18/'Building &amp; Material inputs'!$C$19</f>
        <v>0</v>
      </c>
      <c r="AX87" s="189">
        <f>V87/'Building &amp; Material inputs'!$C$18/'Building &amp; Material inputs'!$C$19</f>
        <v>0</v>
      </c>
      <c r="AY87" s="189">
        <f>W87/'Building &amp; Material inputs'!$C$18/'Building &amp; Material inputs'!$C$19</f>
        <v>0</v>
      </c>
      <c r="AZ87" s="189">
        <f>X87/'Building &amp; Material inputs'!$C$18/'Building &amp; Material inputs'!$C$19</f>
        <v>0</v>
      </c>
      <c r="BA87" s="189">
        <f>Y87/'Building &amp; Material inputs'!$C$18/'Building &amp; Material inputs'!$C$19</f>
        <v>0</v>
      </c>
      <c r="BB87" s="141">
        <f>Z87/'Building &amp; Material inputs'!$C$18/'Building &amp; Material inputs'!$C$19</f>
        <v>0</v>
      </c>
      <c r="BC87" s="141">
        <f>AA87/'Building &amp; Material inputs'!$C$18/'Building &amp; Material inputs'!$C$19</f>
        <v>0</v>
      </c>
      <c r="BD87" s="141">
        <f>AB87/'Building &amp; Material inputs'!$C$18/'Building &amp; Material inputs'!$C$19</f>
        <v>0</v>
      </c>
      <c r="BE87" s="141">
        <f>AC87/'Building &amp; Material inputs'!$C$18/'Building &amp; Material inputs'!$C$19</f>
        <v>0</v>
      </c>
      <c r="BF87" s="141">
        <f>AD87/'Building &amp; Material inputs'!$C$18/'Building &amp; Material inputs'!$C$19</f>
        <v>0</v>
      </c>
      <c r="BG87" s="141">
        <f>AE87/'Building &amp; Material inputs'!$C$18/'Building &amp; Material inputs'!$C$19</f>
        <v>0</v>
      </c>
      <c r="BH87" s="141">
        <f>AF87/'Building &amp; Material inputs'!$C$18/'Building &amp; Material inputs'!$C$19</f>
        <v>0</v>
      </c>
      <c r="BI87" s="188">
        <f>AG87/'Building &amp; Material inputs'!$C$18/'Building &amp; Material inputs'!$C$19</f>
        <v>0</v>
      </c>
      <c r="BJ87" s="188">
        <f>AH87/'Building &amp; Material inputs'!$C$18/'Building &amp; Material inputs'!$C$19</f>
        <v>0</v>
      </c>
      <c r="BK87" s="188">
        <f>AI87/'Building &amp; Material inputs'!$C$18/'Building &amp; Material inputs'!$C$19</f>
        <v>0</v>
      </c>
      <c r="BL87" s="188">
        <f>AJ87/'Building &amp; Material inputs'!$C$18/'Building &amp; Material inputs'!$C$19</f>
        <v>0</v>
      </c>
      <c r="BM87" s="188">
        <f>AK87/'Building &amp; Material inputs'!$C$18/'Building &amp; Material inputs'!$C$19</f>
        <v>0</v>
      </c>
      <c r="BN87" s="188">
        <f>AL87/'Building &amp; Material inputs'!$C$18/'Building &amp; Material inputs'!$C$19</f>
        <v>0</v>
      </c>
      <c r="BO87" s="188">
        <f>AM87/'Building &amp; Material inputs'!$C$18/'Building &amp; Material inputs'!$C$19</f>
        <v>0</v>
      </c>
    </row>
    <row r="88" spans="2:67" x14ac:dyDescent="0.25">
      <c r="B88" s="334"/>
      <c r="C88" s="305"/>
      <c r="D88" s="302"/>
      <c r="E88" s="302" t="s">
        <v>156</v>
      </c>
      <c r="F88" s="9" t="s">
        <v>181</v>
      </c>
      <c r="G88" s="7" t="s">
        <v>101</v>
      </c>
      <c r="H88" s="7" t="str">
        <f>'Material quantities'!G88</f>
        <v>CONB</v>
      </c>
      <c r="I88" s="38">
        <f>'Material quantities'!O88</f>
        <v>0</v>
      </c>
      <c r="J88" s="42" t="s">
        <v>14</v>
      </c>
      <c r="K88" s="2"/>
      <c r="L88" s="144">
        <f>VLOOKUP($H88,'Material impact data'!$E$19:$AM$61,6,0)/VLOOKUP($H88,'Material impact data'!$E$19:$AM$61,4,0)*$I88</f>
        <v>0</v>
      </c>
      <c r="M88" s="138">
        <f>VLOOKUP($H88,'Material impact data'!$E$19:$AM$61,'Material impact data'!M$15,0)/VLOOKUP($H88,'Material impact data'!$E$19:$AM$61,4,0)*$I88</f>
        <v>0</v>
      </c>
      <c r="N88" s="138">
        <f>VLOOKUP($H88,'Material impact data'!$E$19:$AM$61,'Material impact data'!N$15,0)/VLOOKUP($H88,'Material impact data'!$E$19:$AM$61,4,0)*$I88</f>
        <v>0</v>
      </c>
      <c r="O88" s="180">
        <f>VLOOKUP($H88,'Material impact data'!$E$19:$AM$61,'Material impact data'!O$15,0)/VLOOKUP($H88,'Material impact data'!$E$19:$AM$61,4,0)*$I88</f>
        <v>0</v>
      </c>
      <c r="P88" s="180">
        <f>VLOOKUP($H88,'Material impact data'!$E$19:$AM$61,'Material impact data'!P$15,0)/VLOOKUP($H88,'Material impact data'!$E$19:$AM$61,4,0)*$I88</f>
        <v>0</v>
      </c>
      <c r="Q88" s="179">
        <f>VLOOKUP($H88,'Material impact data'!$E$19:$AM$61,'Material impact data'!Q$15,0)/VLOOKUP($H88,'Material impact data'!$E$19:$AM$61,4,0)*$I88</f>
        <v>0</v>
      </c>
      <c r="R88" s="179">
        <f>VLOOKUP($H88,'Material impact data'!$E$19:$AM$61,'Material impact data'!R$15,0)/VLOOKUP($H88,'Material impact data'!$E$19:$AM$61,4,0)*$I88</f>
        <v>0</v>
      </c>
      <c r="S88" s="138">
        <f>VLOOKUP($H88,'Material impact data'!$E$19:$AM$61,'Material impact data'!S$15,0)/VLOOKUP($H88,'Material impact data'!$E$19:$AM$61,4,0)*$I88</f>
        <v>0</v>
      </c>
      <c r="T88" s="138">
        <f>VLOOKUP($H88,'Material impact data'!$E$19:$AM$61,'Material impact data'!T$15,0)/VLOOKUP($H88,'Material impact data'!$E$19:$AM$61,4,0)*$I88</f>
        <v>0</v>
      </c>
      <c r="U88" s="138">
        <f>VLOOKUP($H88,'Material impact data'!$E$19:$AM$61,'Material impact data'!U$15,0)/VLOOKUP($H88,'Material impact data'!$E$19:$AM$61,4,0)*$I88</f>
        <v>0</v>
      </c>
      <c r="V88" s="138">
        <f>VLOOKUP($H88,'Material impact data'!$E$19:$AM$61,'Material impact data'!V$15,0)/VLOOKUP($H88,'Material impact data'!$E$19:$AM$61,4,0)*$I88</f>
        <v>0</v>
      </c>
      <c r="W88" s="138">
        <f>VLOOKUP($H88,'Material impact data'!$E$19:$AM$61,'Material impact data'!W$15,0)/VLOOKUP($H88,'Material impact data'!$E$19:$AM$61,4,0)*$I88</f>
        <v>0</v>
      </c>
      <c r="X88" s="138">
        <f>VLOOKUP($H88,'Material impact data'!$E$19:$AM$61,'Material impact data'!X$15,0)/VLOOKUP($H88,'Material impact data'!$E$19:$AM$61,4,0)*$I88</f>
        <v>0</v>
      </c>
      <c r="Y88" s="138">
        <f>VLOOKUP($H88,'Material impact data'!$E$19:$AM$61,'Material impact data'!Y$15,0)/VLOOKUP($H88,'Material impact data'!$E$19:$AM$61,4,0)*$I88</f>
        <v>0</v>
      </c>
      <c r="Z88" s="180">
        <f>VLOOKUP($H88,'Material impact data'!$E$19:$AM$61,'Material impact data'!Z$15,0)/VLOOKUP($H88,'Material impact data'!$E$19:$AM$61,4,0)*$I88</f>
        <v>0</v>
      </c>
      <c r="AA88" s="180">
        <f>VLOOKUP($H88,'Material impact data'!$E$19:$AM$61,'Material impact data'!AA$15,0)/VLOOKUP($H88,'Material impact data'!$E$19:$AM$61,4,0)*$I88</f>
        <v>0</v>
      </c>
      <c r="AB88" s="180">
        <f>VLOOKUP($H88,'Material impact data'!$E$19:$AM$61,'Material impact data'!AB$15,0)/VLOOKUP($H88,'Material impact data'!$E$19:$AM$61,4,0)*$I88</f>
        <v>0</v>
      </c>
      <c r="AC88" s="180">
        <f>VLOOKUP($H88,'Material impact data'!$E$19:$AM$61,'Material impact data'!AC$15,0)/VLOOKUP($H88,'Material impact data'!$E$19:$AM$61,4,0)*$I88</f>
        <v>0</v>
      </c>
      <c r="AD88" s="180">
        <f>VLOOKUP($H88,'Material impact data'!$E$19:$AM$61,'Material impact data'!AD$15,0)/VLOOKUP($H88,'Material impact data'!$E$19:$AM$61,4,0)*$I88</f>
        <v>0</v>
      </c>
      <c r="AE88" s="180">
        <f>VLOOKUP($H88,'Material impact data'!$E$19:$AM$61,'Material impact data'!AE$15,0)/VLOOKUP($H88,'Material impact data'!$E$19:$AM$61,4,0)*$I88</f>
        <v>0</v>
      </c>
      <c r="AF88" s="180">
        <f>VLOOKUP($H88,'Material impact data'!$E$19:$AM$61,'Material impact data'!AF$15,0)/VLOOKUP($H88,'Material impact data'!$E$19:$AM$61,4,0)*$I88</f>
        <v>0</v>
      </c>
      <c r="AG88" s="179">
        <f>VLOOKUP($H88,'Material impact data'!$E$19:$AM$61,'Material impact data'!AG$15,0)/VLOOKUP($H88,'Material impact data'!$E$19:$AM$61,4,0)*$I88</f>
        <v>0</v>
      </c>
      <c r="AH88" s="179">
        <f>VLOOKUP($H88,'Material impact data'!$E$19:$AM$61,'Material impact data'!AH$15,0)/VLOOKUP($H88,'Material impact data'!$E$19:$AM$61,4,0)*$I88</f>
        <v>0</v>
      </c>
      <c r="AI88" s="179">
        <f>VLOOKUP($H88,'Material impact data'!$E$19:$AM$61,'Material impact data'!AI$15,0)/VLOOKUP($H88,'Material impact data'!$E$19:$AM$61,4,0)*$I88</f>
        <v>0</v>
      </c>
      <c r="AJ88" s="179">
        <f>VLOOKUP($H88,'Material impact data'!$E$19:$AM$61,'Material impact data'!AJ$15,0)/VLOOKUP($H88,'Material impact data'!$E$19:$AM$61,4,0)*$I88</f>
        <v>0</v>
      </c>
      <c r="AK88" s="179">
        <f>VLOOKUP($H88,'Material impact data'!$E$19:$AM$61,'Material impact data'!AK$15,0)/VLOOKUP($H88,'Material impact data'!$E$19:$AM$61,4,0)*$I88</f>
        <v>0</v>
      </c>
      <c r="AL88" s="179">
        <f>VLOOKUP($H88,'Material impact data'!$E$19:$AM$61,'Material impact data'!AL$15,0)/VLOOKUP($H88,'Material impact data'!$E$19:$AM$61,4,0)*$I88</f>
        <v>0</v>
      </c>
      <c r="AM88" s="179">
        <f>VLOOKUP($H88,'Material impact data'!$E$19:$AM$61,'Material impact data'!AM$15,0)/VLOOKUP($H88,'Material impact data'!$E$19:$AM$61,4,0)*$I88</f>
        <v>0</v>
      </c>
      <c r="AO88" s="189">
        <f>M88/'Building &amp; Material inputs'!$C$18/'Building &amp; Material inputs'!$C$19</f>
        <v>0</v>
      </c>
      <c r="AP88" s="189">
        <f>N88/'Building &amp; Material inputs'!$C$18/'Building &amp; Material inputs'!$C$19</f>
        <v>0</v>
      </c>
      <c r="AQ88" s="141">
        <f>O88/'Building &amp; Material inputs'!$C$18/'Building &amp; Material inputs'!$C$19</f>
        <v>0</v>
      </c>
      <c r="AR88" s="141">
        <f>P88/'Building &amp; Material inputs'!$C$18/'Building &amp; Material inputs'!$C$19</f>
        <v>0</v>
      </c>
      <c r="AS88" s="188">
        <f>Q88/'Building &amp; Material inputs'!$C$18/'Building &amp; Material inputs'!$C$19</f>
        <v>0</v>
      </c>
      <c r="AT88" s="188">
        <f>R88/'Building &amp; Material inputs'!$C$18/'Building &amp; Material inputs'!$C$19</f>
        <v>0</v>
      </c>
      <c r="AU88" s="189">
        <f>S88/'Building &amp; Material inputs'!$C$18/'Building &amp; Material inputs'!$C$19</f>
        <v>0</v>
      </c>
      <c r="AV88" s="189">
        <f>T88/'Building &amp; Material inputs'!$C$18/'Building &amp; Material inputs'!$C$19</f>
        <v>0</v>
      </c>
      <c r="AW88" s="189">
        <f>U88/'Building &amp; Material inputs'!$C$18/'Building &amp; Material inputs'!$C$19</f>
        <v>0</v>
      </c>
      <c r="AX88" s="189">
        <f>V88/'Building &amp; Material inputs'!$C$18/'Building &amp; Material inputs'!$C$19</f>
        <v>0</v>
      </c>
      <c r="AY88" s="189">
        <f>W88/'Building &amp; Material inputs'!$C$18/'Building &amp; Material inputs'!$C$19</f>
        <v>0</v>
      </c>
      <c r="AZ88" s="189">
        <f>X88/'Building &amp; Material inputs'!$C$18/'Building &amp; Material inputs'!$C$19</f>
        <v>0</v>
      </c>
      <c r="BA88" s="189">
        <f>Y88/'Building &amp; Material inputs'!$C$18/'Building &amp; Material inputs'!$C$19</f>
        <v>0</v>
      </c>
      <c r="BB88" s="141">
        <f>Z88/'Building &amp; Material inputs'!$C$18/'Building &amp; Material inputs'!$C$19</f>
        <v>0</v>
      </c>
      <c r="BC88" s="141">
        <f>AA88/'Building &amp; Material inputs'!$C$18/'Building &amp; Material inputs'!$C$19</f>
        <v>0</v>
      </c>
      <c r="BD88" s="141">
        <f>AB88/'Building &amp; Material inputs'!$C$18/'Building &amp; Material inputs'!$C$19</f>
        <v>0</v>
      </c>
      <c r="BE88" s="141">
        <f>AC88/'Building &amp; Material inputs'!$C$18/'Building &amp; Material inputs'!$C$19</f>
        <v>0</v>
      </c>
      <c r="BF88" s="141">
        <f>AD88/'Building &amp; Material inputs'!$C$18/'Building &amp; Material inputs'!$C$19</f>
        <v>0</v>
      </c>
      <c r="BG88" s="141">
        <f>AE88/'Building &amp; Material inputs'!$C$18/'Building &amp; Material inputs'!$C$19</f>
        <v>0</v>
      </c>
      <c r="BH88" s="141">
        <f>AF88/'Building &amp; Material inputs'!$C$18/'Building &amp; Material inputs'!$C$19</f>
        <v>0</v>
      </c>
      <c r="BI88" s="188">
        <f>AG88/'Building &amp; Material inputs'!$C$18/'Building &amp; Material inputs'!$C$19</f>
        <v>0</v>
      </c>
      <c r="BJ88" s="188">
        <f>AH88/'Building &amp; Material inputs'!$C$18/'Building &amp; Material inputs'!$C$19</f>
        <v>0</v>
      </c>
      <c r="BK88" s="188">
        <f>AI88/'Building &amp; Material inputs'!$C$18/'Building &amp; Material inputs'!$C$19</f>
        <v>0</v>
      </c>
      <c r="BL88" s="188">
        <f>AJ88/'Building &amp; Material inputs'!$C$18/'Building &amp; Material inputs'!$C$19</f>
        <v>0</v>
      </c>
      <c r="BM88" s="188">
        <f>AK88/'Building &amp; Material inputs'!$C$18/'Building &amp; Material inputs'!$C$19</f>
        <v>0</v>
      </c>
      <c r="BN88" s="188">
        <f>AL88/'Building &amp; Material inputs'!$C$18/'Building &amp; Material inputs'!$C$19</f>
        <v>0</v>
      </c>
      <c r="BO88" s="188">
        <f>AM88/'Building &amp; Material inputs'!$C$18/'Building &amp; Material inputs'!$C$19</f>
        <v>0</v>
      </c>
    </row>
    <row r="89" spans="2:67" x14ac:dyDescent="0.25">
      <c r="B89" s="334"/>
      <c r="C89" s="305"/>
      <c r="D89" s="302"/>
      <c r="E89" s="302"/>
      <c r="F89" s="9" t="s">
        <v>182</v>
      </c>
      <c r="G89" s="7" t="s">
        <v>57</v>
      </c>
      <c r="H89" s="7" t="str">
        <f>'Material quantities'!G89</f>
        <v>MWOOL</v>
      </c>
      <c r="I89" s="38">
        <f>'Material quantities'!O89</f>
        <v>0</v>
      </c>
      <c r="J89" s="42" t="s">
        <v>14</v>
      </c>
      <c r="K89" s="2"/>
      <c r="L89" s="144">
        <f>VLOOKUP($H89,'Material impact data'!$E$19:$AM$61,6,0)/VLOOKUP($H89,'Material impact data'!$E$19:$AM$61,4,0)*$I89</f>
        <v>0</v>
      </c>
      <c r="M89" s="138">
        <f>VLOOKUP($H89,'Material impact data'!$E$19:$AM$61,'Material impact data'!M$15,0)/VLOOKUP($H89,'Material impact data'!$E$19:$AM$61,4,0)*$I89</f>
        <v>0</v>
      </c>
      <c r="N89" s="138">
        <f>VLOOKUP($H89,'Material impact data'!$E$19:$AM$61,'Material impact data'!N$15,0)/VLOOKUP($H89,'Material impact data'!$E$19:$AM$61,4,0)*$I89</f>
        <v>0</v>
      </c>
      <c r="O89" s="180">
        <f>VLOOKUP($H89,'Material impact data'!$E$19:$AM$61,'Material impact data'!O$15,0)/VLOOKUP($H89,'Material impact data'!$E$19:$AM$61,4,0)*$I89</f>
        <v>0</v>
      </c>
      <c r="P89" s="180">
        <f>VLOOKUP($H89,'Material impact data'!$E$19:$AM$61,'Material impact data'!P$15,0)/VLOOKUP($H89,'Material impact data'!$E$19:$AM$61,4,0)*$I89</f>
        <v>0</v>
      </c>
      <c r="Q89" s="179">
        <f>VLOOKUP($H89,'Material impact data'!$E$19:$AM$61,'Material impact data'!Q$15,0)/VLOOKUP($H89,'Material impact data'!$E$19:$AM$61,4,0)*$I89</f>
        <v>0</v>
      </c>
      <c r="R89" s="179">
        <f>VLOOKUP($H89,'Material impact data'!$E$19:$AM$61,'Material impact data'!R$15,0)/VLOOKUP($H89,'Material impact data'!$E$19:$AM$61,4,0)*$I89</f>
        <v>0</v>
      </c>
      <c r="S89" s="138">
        <f>VLOOKUP($H89,'Material impact data'!$E$19:$AM$61,'Material impact data'!S$15,0)/VLOOKUP($H89,'Material impact data'!$E$19:$AM$61,4,0)*$I89</f>
        <v>0</v>
      </c>
      <c r="T89" s="138">
        <f>VLOOKUP($H89,'Material impact data'!$E$19:$AM$61,'Material impact data'!T$15,0)/VLOOKUP($H89,'Material impact data'!$E$19:$AM$61,4,0)*$I89</f>
        <v>0</v>
      </c>
      <c r="U89" s="138">
        <f>VLOOKUP($H89,'Material impact data'!$E$19:$AM$61,'Material impact data'!U$15,0)/VLOOKUP($H89,'Material impact data'!$E$19:$AM$61,4,0)*$I89</f>
        <v>0</v>
      </c>
      <c r="V89" s="138">
        <f>VLOOKUP($H89,'Material impact data'!$E$19:$AM$61,'Material impact data'!V$15,0)/VLOOKUP($H89,'Material impact data'!$E$19:$AM$61,4,0)*$I89</f>
        <v>0</v>
      </c>
      <c r="W89" s="138">
        <f>VLOOKUP($H89,'Material impact data'!$E$19:$AM$61,'Material impact data'!W$15,0)/VLOOKUP($H89,'Material impact data'!$E$19:$AM$61,4,0)*$I89</f>
        <v>0</v>
      </c>
      <c r="X89" s="138">
        <f>VLOOKUP($H89,'Material impact data'!$E$19:$AM$61,'Material impact data'!X$15,0)/VLOOKUP($H89,'Material impact data'!$E$19:$AM$61,4,0)*$I89</f>
        <v>0</v>
      </c>
      <c r="Y89" s="138">
        <f>VLOOKUP($H89,'Material impact data'!$E$19:$AM$61,'Material impact data'!Y$15,0)/VLOOKUP($H89,'Material impact data'!$E$19:$AM$61,4,0)*$I89</f>
        <v>0</v>
      </c>
      <c r="Z89" s="180">
        <f>VLOOKUP($H89,'Material impact data'!$E$19:$AM$61,'Material impact data'!Z$15,0)/VLOOKUP($H89,'Material impact data'!$E$19:$AM$61,4,0)*$I89</f>
        <v>0</v>
      </c>
      <c r="AA89" s="180">
        <f>VLOOKUP($H89,'Material impact data'!$E$19:$AM$61,'Material impact data'!AA$15,0)/VLOOKUP($H89,'Material impact data'!$E$19:$AM$61,4,0)*$I89</f>
        <v>0</v>
      </c>
      <c r="AB89" s="180">
        <f>VLOOKUP($H89,'Material impact data'!$E$19:$AM$61,'Material impact data'!AB$15,0)/VLOOKUP($H89,'Material impact data'!$E$19:$AM$61,4,0)*$I89</f>
        <v>0</v>
      </c>
      <c r="AC89" s="180">
        <f>VLOOKUP($H89,'Material impact data'!$E$19:$AM$61,'Material impact data'!AC$15,0)/VLOOKUP($H89,'Material impact data'!$E$19:$AM$61,4,0)*$I89</f>
        <v>0</v>
      </c>
      <c r="AD89" s="180">
        <f>VLOOKUP($H89,'Material impact data'!$E$19:$AM$61,'Material impact data'!AD$15,0)/VLOOKUP($H89,'Material impact data'!$E$19:$AM$61,4,0)*$I89</f>
        <v>0</v>
      </c>
      <c r="AE89" s="180">
        <f>VLOOKUP($H89,'Material impact data'!$E$19:$AM$61,'Material impact data'!AE$15,0)/VLOOKUP($H89,'Material impact data'!$E$19:$AM$61,4,0)*$I89</f>
        <v>0</v>
      </c>
      <c r="AF89" s="180">
        <f>VLOOKUP($H89,'Material impact data'!$E$19:$AM$61,'Material impact data'!AF$15,0)/VLOOKUP($H89,'Material impact data'!$E$19:$AM$61,4,0)*$I89</f>
        <v>0</v>
      </c>
      <c r="AG89" s="179">
        <f>VLOOKUP($H89,'Material impact data'!$E$19:$AM$61,'Material impact data'!AG$15,0)/VLOOKUP($H89,'Material impact data'!$E$19:$AM$61,4,0)*$I89</f>
        <v>0</v>
      </c>
      <c r="AH89" s="179">
        <f>VLOOKUP($H89,'Material impact data'!$E$19:$AM$61,'Material impact data'!AH$15,0)/VLOOKUP($H89,'Material impact data'!$E$19:$AM$61,4,0)*$I89</f>
        <v>0</v>
      </c>
      <c r="AI89" s="179">
        <f>VLOOKUP($H89,'Material impact data'!$E$19:$AM$61,'Material impact data'!AI$15,0)/VLOOKUP($H89,'Material impact data'!$E$19:$AM$61,4,0)*$I89</f>
        <v>0</v>
      </c>
      <c r="AJ89" s="179">
        <f>VLOOKUP($H89,'Material impact data'!$E$19:$AM$61,'Material impact data'!AJ$15,0)/VLOOKUP($H89,'Material impact data'!$E$19:$AM$61,4,0)*$I89</f>
        <v>0</v>
      </c>
      <c r="AK89" s="179">
        <f>VLOOKUP($H89,'Material impact data'!$E$19:$AM$61,'Material impact data'!AK$15,0)/VLOOKUP($H89,'Material impact data'!$E$19:$AM$61,4,0)*$I89</f>
        <v>0</v>
      </c>
      <c r="AL89" s="179">
        <f>VLOOKUP($H89,'Material impact data'!$E$19:$AM$61,'Material impact data'!AL$15,0)/VLOOKUP($H89,'Material impact data'!$E$19:$AM$61,4,0)*$I89</f>
        <v>0</v>
      </c>
      <c r="AM89" s="179">
        <f>VLOOKUP($H89,'Material impact data'!$E$19:$AM$61,'Material impact data'!AM$15,0)/VLOOKUP($H89,'Material impact data'!$E$19:$AM$61,4,0)*$I89</f>
        <v>0</v>
      </c>
      <c r="AO89" s="189">
        <f>M89/'Building &amp; Material inputs'!$C$18/'Building &amp; Material inputs'!$C$19</f>
        <v>0</v>
      </c>
      <c r="AP89" s="189">
        <f>N89/'Building &amp; Material inputs'!$C$18/'Building &amp; Material inputs'!$C$19</f>
        <v>0</v>
      </c>
      <c r="AQ89" s="141">
        <f>O89/'Building &amp; Material inputs'!$C$18/'Building &amp; Material inputs'!$C$19</f>
        <v>0</v>
      </c>
      <c r="AR89" s="141">
        <f>P89/'Building &amp; Material inputs'!$C$18/'Building &amp; Material inputs'!$C$19</f>
        <v>0</v>
      </c>
      <c r="AS89" s="188">
        <f>Q89/'Building &amp; Material inputs'!$C$18/'Building &amp; Material inputs'!$C$19</f>
        <v>0</v>
      </c>
      <c r="AT89" s="188">
        <f>R89/'Building &amp; Material inputs'!$C$18/'Building &amp; Material inputs'!$C$19</f>
        <v>0</v>
      </c>
      <c r="AU89" s="189">
        <f>S89/'Building &amp; Material inputs'!$C$18/'Building &amp; Material inputs'!$C$19</f>
        <v>0</v>
      </c>
      <c r="AV89" s="189">
        <f>T89/'Building &amp; Material inputs'!$C$18/'Building &amp; Material inputs'!$C$19</f>
        <v>0</v>
      </c>
      <c r="AW89" s="189">
        <f>U89/'Building &amp; Material inputs'!$C$18/'Building &amp; Material inputs'!$C$19</f>
        <v>0</v>
      </c>
      <c r="AX89" s="189">
        <f>V89/'Building &amp; Material inputs'!$C$18/'Building &amp; Material inputs'!$C$19</f>
        <v>0</v>
      </c>
      <c r="AY89" s="189">
        <f>W89/'Building &amp; Material inputs'!$C$18/'Building &amp; Material inputs'!$C$19</f>
        <v>0</v>
      </c>
      <c r="AZ89" s="189">
        <f>X89/'Building &amp; Material inputs'!$C$18/'Building &amp; Material inputs'!$C$19</f>
        <v>0</v>
      </c>
      <c r="BA89" s="189">
        <f>Y89/'Building &amp; Material inputs'!$C$18/'Building &amp; Material inputs'!$C$19</f>
        <v>0</v>
      </c>
      <c r="BB89" s="141">
        <f>Z89/'Building &amp; Material inputs'!$C$18/'Building &amp; Material inputs'!$C$19</f>
        <v>0</v>
      </c>
      <c r="BC89" s="141">
        <f>AA89/'Building &amp; Material inputs'!$C$18/'Building &amp; Material inputs'!$C$19</f>
        <v>0</v>
      </c>
      <c r="BD89" s="141">
        <f>AB89/'Building &amp; Material inputs'!$C$18/'Building &amp; Material inputs'!$C$19</f>
        <v>0</v>
      </c>
      <c r="BE89" s="141">
        <f>AC89/'Building &amp; Material inputs'!$C$18/'Building &amp; Material inputs'!$C$19</f>
        <v>0</v>
      </c>
      <c r="BF89" s="141">
        <f>AD89/'Building &amp; Material inputs'!$C$18/'Building &amp; Material inputs'!$C$19</f>
        <v>0</v>
      </c>
      <c r="BG89" s="141">
        <f>AE89/'Building &amp; Material inputs'!$C$18/'Building &amp; Material inputs'!$C$19</f>
        <v>0</v>
      </c>
      <c r="BH89" s="141">
        <f>AF89/'Building &amp; Material inputs'!$C$18/'Building &amp; Material inputs'!$C$19</f>
        <v>0</v>
      </c>
      <c r="BI89" s="188">
        <f>AG89/'Building &amp; Material inputs'!$C$18/'Building &amp; Material inputs'!$C$19</f>
        <v>0</v>
      </c>
      <c r="BJ89" s="188">
        <f>AH89/'Building &amp; Material inputs'!$C$18/'Building &amp; Material inputs'!$C$19</f>
        <v>0</v>
      </c>
      <c r="BK89" s="188">
        <f>AI89/'Building &amp; Material inputs'!$C$18/'Building &amp; Material inputs'!$C$19</f>
        <v>0</v>
      </c>
      <c r="BL89" s="188">
        <f>AJ89/'Building &amp; Material inputs'!$C$18/'Building &amp; Material inputs'!$C$19</f>
        <v>0</v>
      </c>
      <c r="BM89" s="188">
        <f>AK89/'Building &amp; Material inputs'!$C$18/'Building &amp; Material inputs'!$C$19</f>
        <v>0</v>
      </c>
      <c r="BN89" s="188">
        <f>AL89/'Building &amp; Material inputs'!$C$18/'Building &amp; Material inputs'!$C$19</f>
        <v>0</v>
      </c>
      <c r="BO89" s="188">
        <f>AM89/'Building &amp; Material inputs'!$C$18/'Building &amp; Material inputs'!$C$19</f>
        <v>0</v>
      </c>
    </row>
    <row r="90" spans="2:67" x14ac:dyDescent="0.25">
      <c r="B90" s="334"/>
      <c r="C90" s="305"/>
      <c r="D90" s="302"/>
      <c r="E90" s="302"/>
      <c r="F90" s="9" t="s">
        <v>183</v>
      </c>
      <c r="G90" s="7" t="s">
        <v>364</v>
      </c>
      <c r="H90" s="7" t="str">
        <f>'Material quantities'!G90</f>
        <v>PLASM</v>
      </c>
      <c r="I90" s="38">
        <f>'Material quantities'!O90</f>
        <v>0</v>
      </c>
      <c r="J90" s="42" t="s">
        <v>15</v>
      </c>
      <c r="K90" s="2"/>
      <c r="L90" s="144">
        <f>VLOOKUP($H90,'Material impact data'!$E$19:$AM$61,6,0)/VLOOKUP($H90,'Material impact data'!$E$19:$AM$61,4,0)*$I90</f>
        <v>0</v>
      </c>
      <c r="M90" s="138">
        <f>VLOOKUP($H90,'Material impact data'!$E$19:$AM$61,'Material impact data'!M$15,0)/VLOOKUP($H90,'Material impact data'!$E$19:$AM$61,4,0)*$I90</f>
        <v>0</v>
      </c>
      <c r="N90" s="138">
        <f>VLOOKUP($H90,'Material impact data'!$E$19:$AM$61,'Material impact data'!N$15,0)/VLOOKUP($H90,'Material impact data'!$E$19:$AM$61,4,0)*$I90</f>
        <v>0</v>
      </c>
      <c r="O90" s="180">
        <f>VLOOKUP($H90,'Material impact data'!$E$19:$AM$61,'Material impact data'!O$15,0)/VLOOKUP($H90,'Material impact data'!$E$19:$AM$61,4,0)*$I90</f>
        <v>0</v>
      </c>
      <c r="P90" s="180">
        <f>VLOOKUP($H90,'Material impact data'!$E$19:$AM$61,'Material impact data'!P$15,0)/VLOOKUP($H90,'Material impact data'!$E$19:$AM$61,4,0)*$I90</f>
        <v>0</v>
      </c>
      <c r="Q90" s="179">
        <f>VLOOKUP($H90,'Material impact data'!$E$19:$AM$61,'Material impact data'!Q$15,0)/VLOOKUP($H90,'Material impact data'!$E$19:$AM$61,4,0)*$I90</f>
        <v>0</v>
      </c>
      <c r="R90" s="179">
        <f>VLOOKUP($H90,'Material impact data'!$E$19:$AM$61,'Material impact data'!R$15,0)/VLOOKUP($H90,'Material impact data'!$E$19:$AM$61,4,0)*$I90</f>
        <v>0</v>
      </c>
      <c r="S90" s="138">
        <f>VLOOKUP($H90,'Material impact data'!$E$19:$AM$61,'Material impact data'!S$15,0)/VLOOKUP($H90,'Material impact data'!$E$19:$AM$61,4,0)*$I90</f>
        <v>0</v>
      </c>
      <c r="T90" s="138">
        <f>VLOOKUP($H90,'Material impact data'!$E$19:$AM$61,'Material impact data'!T$15,0)/VLOOKUP($H90,'Material impact data'!$E$19:$AM$61,4,0)*$I90</f>
        <v>0</v>
      </c>
      <c r="U90" s="138">
        <f>VLOOKUP($H90,'Material impact data'!$E$19:$AM$61,'Material impact data'!U$15,0)/VLOOKUP($H90,'Material impact data'!$E$19:$AM$61,4,0)*$I90</f>
        <v>0</v>
      </c>
      <c r="V90" s="138">
        <f>VLOOKUP($H90,'Material impact data'!$E$19:$AM$61,'Material impact data'!V$15,0)/VLOOKUP($H90,'Material impact data'!$E$19:$AM$61,4,0)*$I90</f>
        <v>0</v>
      </c>
      <c r="W90" s="138">
        <f>VLOOKUP($H90,'Material impact data'!$E$19:$AM$61,'Material impact data'!W$15,0)/VLOOKUP($H90,'Material impact data'!$E$19:$AM$61,4,0)*$I90</f>
        <v>0</v>
      </c>
      <c r="X90" s="138">
        <f>VLOOKUP($H90,'Material impact data'!$E$19:$AM$61,'Material impact data'!X$15,0)/VLOOKUP($H90,'Material impact data'!$E$19:$AM$61,4,0)*$I90</f>
        <v>0</v>
      </c>
      <c r="Y90" s="138">
        <f>VLOOKUP($H90,'Material impact data'!$E$19:$AM$61,'Material impact data'!Y$15,0)/VLOOKUP($H90,'Material impact data'!$E$19:$AM$61,4,0)*$I90</f>
        <v>0</v>
      </c>
      <c r="Z90" s="180">
        <f>VLOOKUP($H90,'Material impact data'!$E$19:$AM$61,'Material impact data'!Z$15,0)/VLOOKUP($H90,'Material impact data'!$E$19:$AM$61,4,0)*$I90</f>
        <v>0</v>
      </c>
      <c r="AA90" s="180">
        <f>VLOOKUP($H90,'Material impact data'!$E$19:$AM$61,'Material impact data'!AA$15,0)/VLOOKUP($H90,'Material impact data'!$E$19:$AM$61,4,0)*$I90</f>
        <v>0</v>
      </c>
      <c r="AB90" s="180">
        <f>VLOOKUP($H90,'Material impact data'!$E$19:$AM$61,'Material impact data'!AB$15,0)/VLOOKUP($H90,'Material impact data'!$E$19:$AM$61,4,0)*$I90</f>
        <v>0</v>
      </c>
      <c r="AC90" s="180">
        <f>VLOOKUP($H90,'Material impact data'!$E$19:$AM$61,'Material impact data'!AC$15,0)/VLOOKUP($H90,'Material impact data'!$E$19:$AM$61,4,0)*$I90</f>
        <v>0</v>
      </c>
      <c r="AD90" s="180">
        <f>VLOOKUP($H90,'Material impact data'!$E$19:$AM$61,'Material impact data'!AD$15,0)/VLOOKUP($H90,'Material impact data'!$E$19:$AM$61,4,0)*$I90</f>
        <v>0</v>
      </c>
      <c r="AE90" s="180">
        <f>VLOOKUP($H90,'Material impact data'!$E$19:$AM$61,'Material impact data'!AE$15,0)/VLOOKUP($H90,'Material impact data'!$E$19:$AM$61,4,0)*$I90</f>
        <v>0</v>
      </c>
      <c r="AF90" s="180">
        <f>VLOOKUP($H90,'Material impact data'!$E$19:$AM$61,'Material impact data'!AF$15,0)/VLOOKUP($H90,'Material impact data'!$E$19:$AM$61,4,0)*$I90</f>
        <v>0</v>
      </c>
      <c r="AG90" s="179">
        <f>VLOOKUP($H90,'Material impact data'!$E$19:$AM$61,'Material impact data'!AG$15,0)/VLOOKUP($H90,'Material impact data'!$E$19:$AM$61,4,0)*$I90</f>
        <v>0</v>
      </c>
      <c r="AH90" s="179">
        <f>VLOOKUP($H90,'Material impact data'!$E$19:$AM$61,'Material impact data'!AH$15,0)/VLOOKUP($H90,'Material impact data'!$E$19:$AM$61,4,0)*$I90</f>
        <v>0</v>
      </c>
      <c r="AI90" s="179">
        <f>VLOOKUP($H90,'Material impact data'!$E$19:$AM$61,'Material impact data'!AI$15,0)/VLOOKUP($H90,'Material impact data'!$E$19:$AM$61,4,0)*$I90</f>
        <v>0</v>
      </c>
      <c r="AJ90" s="179">
        <f>VLOOKUP($H90,'Material impact data'!$E$19:$AM$61,'Material impact data'!AJ$15,0)/VLOOKUP($H90,'Material impact data'!$E$19:$AM$61,4,0)*$I90</f>
        <v>0</v>
      </c>
      <c r="AK90" s="179">
        <f>VLOOKUP($H90,'Material impact data'!$E$19:$AM$61,'Material impact data'!AK$15,0)/VLOOKUP($H90,'Material impact data'!$E$19:$AM$61,4,0)*$I90</f>
        <v>0</v>
      </c>
      <c r="AL90" s="179">
        <f>VLOOKUP($H90,'Material impact data'!$E$19:$AM$61,'Material impact data'!AL$15,0)/VLOOKUP($H90,'Material impact data'!$E$19:$AM$61,4,0)*$I90</f>
        <v>0</v>
      </c>
      <c r="AM90" s="179">
        <f>VLOOKUP($H90,'Material impact data'!$E$19:$AM$61,'Material impact data'!AM$15,0)/VLOOKUP($H90,'Material impact data'!$E$19:$AM$61,4,0)*$I90</f>
        <v>0</v>
      </c>
      <c r="AO90" s="189">
        <f>M90/'Building &amp; Material inputs'!$C$18/'Building &amp; Material inputs'!$C$19</f>
        <v>0</v>
      </c>
      <c r="AP90" s="189">
        <f>N90/'Building &amp; Material inputs'!$C$18/'Building &amp; Material inputs'!$C$19</f>
        <v>0</v>
      </c>
      <c r="AQ90" s="141">
        <f>O90/'Building &amp; Material inputs'!$C$18/'Building &amp; Material inputs'!$C$19</f>
        <v>0</v>
      </c>
      <c r="AR90" s="141">
        <f>P90/'Building &amp; Material inputs'!$C$18/'Building &amp; Material inputs'!$C$19</f>
        <v>0</v>
      </c>
      <c r="AS90" s="188">
        <f>Q90/'Building &amp; Material inputs'!$C$18/'Building &amp; Material inputs'!$C$19</f>
        <v>0</v>
      </c>
      <c r="AT90" s="188">
        <f>R90/'Building &amp; Material inputs'!$C$18/'Building &amp; Material inputs'!$C$19</f>
        <v>0</v>
      </c>
      <c r="AU90" s="189">
        <f>S90/'Building &amp; Material inputs'!$C$18/'Building &amp; Material inputs'!$C$19</f>
        <v>0</v>
      </c>
      <c r="AV90" s="189">
        <f>T90/'Building &amp; Material inputs'!$C$18/'Building &amp; Material inputs'!$C$19</f>
        <v>0</v>
      </c>
      <c r="AW90" s="189">
        <f>U90/'Building &amp; Material inputs'!$C$18/'Building &amp; Material inputs'!$C$19</f>
        <v>0</v>
      </c>
      <c r="AX90" s="189">
        <f>V90/'Building &amp; Material inputs'!$C$18/'Building &amp; Material inputs'!$C$19</f>
        <v>0</v>
      </c>
      <c r="AY90" s="189">
        <f>W90/'Building &amp; Material inputs'!$C$18/'Building &amp; Material inputs'!$C$19</f>
        <v>0</v>
      </c>
      <c r="AZ90" s="189">
        <f>X90/'Building &amp; Material inputs'!$C$18/'Building &amp; Material inputs'!$C$19</f>
        <v>0</v>
      </c>
      <c r="BA90" s="189">
        <f>Y90/'Building &amp; Material inputs'!$C$18/'Building &amp; Material inputs'!$C$19</f>
        <v>0</v>
      </c>
      <c r="BB90" s="141">
        <f>Z90/'Building &amp; Material inputs'!$C$18/'Building &amp; Material inputs'!$C$19</f>
        <v>0</v>
      </c>
      <c r="BC90" s="141">
        <f>AA90/'Building &amp; Material inputs'!$C$18/'Building &amp; Material inputs'!$C$19</f>
        <v>0</v>
      </c>
      <c r="BD90" s="141">
        <f>AB90/'Building &amp; Material inputs'!$C$18/'Building &amp; Material inputs'!$C$19</f>
        <v>0</v>
      </c>
      <c r="BE90" s="141">
        <f>AC90/'Building &amp; Material inputs'!$C$18/'Building &amp; Material inputs'!$C$19</f>
        <v>0</v>
      </c>
      <c r="BF90" s="141">
        <f>AD90/'Building &amp; Material inputs'!$C$18/'Building &amp; Material inputs'!$C$19</f>
        <v>0</v>
      </c>
      <c r="BG90" s="141">
        <f>AE90/'Building &amp; Material inputs'!$C$18/'Building &amp; Material inputs'!$C$19</f>
        <v>0</v>
      </c>
      <c r="BH90" s="141">
        <f>AF90/'Building &amp; Material inputs'!$C$18/'Building &amp; Material inputs'!$C$19</f>
        <v>0</v>
      </c>
      <c r="BI90" s="188">
        <f>AG90/'Building &amp; Material inputs'!$C$18/'Building &amp; Material inputs'!$C$19</f>
        <v>0</v>
      </c>
      <c r="BJ90" s="188">
        <f>AH90/'Building &amp; Material inputs'!$C$18/'Building &amp; Material inputs'!$C$19</f>
        <v>0</v>
      </c>
      <c r="BK90" s="188">
        <f>AI90/'Building &amp; Material inputs'!$C$18/'Building &amp; Material inputs'!$C$19</f>
        <v>0</v>
      </c>
      <c r="BL90" s="188">
        <f>AJ90/'Building &amp; Material inputs'!$C$18/'Building &amp; Material inputs'!$C$19</f>
        <v>0</v>
      </c>
      <c r="BM90" s="188">
        <f>AK90/'Building &amp; Material inputs'!$C$18/'Building &amp; Material inputs'!$C$19</f>
        <v>0</v>
      </c>
      <c r="BN90" s="188">
        <f>AL90/'Building &amp; Material inputs'!$C$18/'Building &amp; Material inputs'!$C$19</f>
        <v>0</v>
      </c>
      <c r="BO90" s="188">
        <f>AM90/'Building &amp; Material inputs'!$C$18/'Building &amp; Material inputs'!$C$19</f>
        <v>0</v>
      </c>
    </row>
    <row r="91" spans="2:67" x14ac:dyDescent="0.25">
      <c r="B91" s="334"/>
      <c r="C91" s="305"/>
      <c r="D91" s="302"/>
      <c r="E91" s="302" t="s">
        <v>157</v>
      </c>
      <c r="F91" s="9" t="s">
        <v>184</v>
      </c>
      <c r="G91" s="7" t="s">
        <v>98</v>
      </c>
      <c r="H91" s="7" t="str">
        <f>'Material quantities'!G91</f>
        <v>CERB</v>
      </c>
      <c r="I91" s="38">
        <f>'Material quantities'!O91</f>
        <v>2337.7199999999998</v>
      </c>
      <c r="J91" s="42" t="s">
        <v>15</v>
      </c>
      <c r="K91" s="2"/>
      <c r="L91" s="144">
        <f>VLOOKUP($H91,'Material impact data'!$E$19:$AM$61,6,0)/VLOOKUP($H91,'Material impact data'!$E$19:$AM$61,4,0)*$I91</f>
        <v>981.84239999999988</v>
      </c>
      <c r="M91" s="138">
        <f>VLOOKUP($H91,'Material impact data'!$E$19:$AM$61,'Material impact data'!M$15,0)/VLOOKUP($H91,'Material impact data'!$E$19:$AM$61,4,0)*$I91</f>
        <v>720.01775999999995</v>
      </c>
      <c r="N91" s="138">
        <f>VLOOKUP($H91,'Material impact data'!$E$19:$AM$61,'Material impact data'!N$15,0)/VLOOKUP($H91,'Material impact data'!$E$19:$AM$61,4,0)*$I91</f>
        <v>9654.7835999999988</v>
      </c>
      <c r="O91" s="180">
        <f>VLOOKUP($H91,'Material impact data'!$E$19:$AM$61,'Material impact data'!O$15,0)/VLOOKUP($H91,'Material impact data'!$E$19:$AM$61,4,0)*$I91</f>
        <v>4.7923259999999992</v>
      </c>
      <c r="P91" s="180">
        <f>VLOOKUP($H91,'Material impact data'!$E$19:$AM$61,'Material impact data'!P$15,0)/VLOOKUP($H91,'Material impact data'!$E$19:$AM$61,4,0)*$I91</f>
        <v>95.612747999999982</v>
      </c>
      <c r="Q91" s="179">
        <f>VLOOKUP($H91,'Material impact data'!$E$19:$AM$61,'Material impact data'!Q$15,0)/VLOOKUP($H91,'Material impact data'!$E$19:$AM$61,4,0)*$I91</f>
        <v>2.2325225999999998</v>
      </c>
      <c r="R91" s="179">
        <f>VLOOKUP($H91,'Material impact data'!$E$19:$AM$61,'Material impact data'!R$15,0)/VLOOKUP($H91,'Material impact data'!$E$19:$AM$61,4,0)*$I91</f>
        <v>23.377199999999998</v>
      </c>
      <c r="S91" s="138">
        <f>VLOOKUP($H91,'Material impact data'!$E$19:$AM$61,'Material impact data'!S$15,0)/VLOOKUP($H91,'Material impact data'!$E$19:$AM$61,4,0)*$I91</f>
        <v>734.04407999999989</v>
      </c>
      <c r="T91" s="138">
        <f>VLOOKUP($H91,'Material impact data'!$E$19:$AM$61,'Material impact data'!T$15,0)/VLOOKUP($H91,'Material impact data'!$E$19:$AM$61,4,0)*$I91</f>
        <v>8719.6955999999991</v>
      </c>
      <c r="U91" s="138">
        <f>VLOOKUP($H91,'Material impact data'!$E$19:$AM$61,'Material impact data'!U$15,0)/VLOOKUP($H91,'Material impact data'!$E$19:$AM$61,4,0)*$I91</f>
        <v>6.2417123999999999E-4</v>
      </c>
      <c r="V91" s="138">
        <f>VLOOKUP($H91,'Material impact data'!$E$19:$AM$61,'Material impact data'!V$15,0)/VLOOKUP($H91,'Material impact data'!$E$19:$AM$61,4,0)*$I91</f>
        <v>2.3330445599999998</v>
      </c>
      <c r="W91" s="138">
        <f>VLOOKUP($H91,'Material impact data'!$E$19:$AM$61,'Material impact data'!W$15,0)/VLOOKUP($H91,'Material impact data'!$E$19:$AM$61,4,0)*$I91</f>
        <v>0.48157031999999994</v>
      </c>
      <c r="X91" s="138">
        <f>VLOOKUP($H91,'Material impact data'!$E$19:$AM$61,'Material impact data'!X$15,0)/VLOOKUP($H91,'Material impact data'!$E$19:$AM$61,4,0)*$I91</f>
        <v>0.12132766799999999</v>
      </c>
      <c r="Y91" s="138">
        <f>VLOOKUP($H91,'Material impact data'!$E$19:$AM$61,'Material impact data'!Y$15,0)/VLOOKUP($H91,'Material impact data'!$E$19:$AM$61,4,0)*$I91</f>
        <v>1.1828863199999999E-6</v>
      </c>
      <c r="Z91" s="180">
        <f>VLOOKUP($H91,'Material impact data'!$E$19:$AM$61,'Material impact data'!Z$15,0)/VLOOKUP($H91,'Material impact data'!$E$19:$AM$61,4,0)*$I91</f>
        <v>6.896274</v>
      </c>
      <c r="AA91" s="180">
        <f>VLOOKUP($H91,'Material impact data'!$E$19:$AM$61,'Material impact data'!AA$15,0)/VLOOKUP($H91,'Material impact data'!$E$19:$AM$61,4,0)*$I91</f>
        <v>95.37897599999998</v>
      </c>
      <c r="AB91" s="180">
        <f>VLOOKUP($H91,'Material impact data'!$E$19:$AM$61,'Material impact data'!AB$15,0)/VLOOKUP($H91,'Material impact data'!$E$19:$AM$61,4,0)*$I91</f>
        <v>5.5403964000000002E-7</v>
      </c>
      <c r="AC91" s="180">
        <f>VLOOKUP($H91,'Material impact data'!$E$19:$AM$61,'Material impact data'!AC$15,0)/VLOOKUP($H91,'Material impact data'!$E$19:$AM$61,4,0)*$I91</f>
        <v>2.8987727999999997E-2</v>
      </c>
      <c r="AD91" s="180">
        <f>VLOOKUP($H91,'Material impact data'!$E$19:$AM$61,'Material impact data'!AD$15,0)/VLOOKUP($H91,'Material impact data'!$E$19:$AM$61,4,0)*$I91</f>
        <v>7.2001775999999988E-3</v>
      </c>
      <c r="AE91" s="180">
        <f>VLOOKUP($H91,'Material impact data'!$E$19:$AM$61,'Material impact data'!AE$15,0)/VLOOKUP($H91,'Material impact data'!$E$19:$AM$61,4,0)*$I91</f>
        <v>-1.0589871599999998E-2</v>
      </c>
      <c r="AF91" s="180">
        <f>VLOOKUP($H91,'Material impact data'!$E$19:$AM$61,'Material impact data'!AF$15,0)/VLOOKUP($H91,'Material impact data'!$E$19:$AM$61,4,0)*$I91</f>
        <v>2.3143428E-12</v>
      </c>
      <c r="AG91" s="179">
        <f>VLOOKUP($H91,'Material impact data'!$E$19:$AM$61,'Material impact data'!AG$15,0)/VLOOKUP($H91,'Material impact data'!$E$19:$AM$61,4,0)*$I91</f>
        <v>5.4936419999999995</v>
      </c>
      <c r="AH91" s="179">
        <f>VLOOKUP($H91,'Material impact data'!$E$19:$AM$61,'Material impact data'!AH$15,0)/VLOOKUP($H91,'Material impact data'!$E$19:$AM$61,4,0)*$I91</f>
        <v>22.816147199999996</v>
      </c>
      <c r="AI91" s="179">
        <f>VLOOKUP($H91,'Material impact data'!$E$19:$AM$61,'Material impact data'!AI$15,0)/VLOOKUP($H91,'Material impact data'!$E$19:$AM$61,4,0)*$I91</f>
        <v>4.7455715999999995E-7</v>
      </c>
      <c r="AJ91" s="179">
        <f>VLOOKUP($H91,'Material impact data'!$E$19:$AM$61,'Material impact data'!AJ$15,0)/VLOOKUP($H91,'Material impact data'!$E$19:$AM$61,4,0)*$I91</f>
        <v>9.3275027999999982E-3</v>
      </c>
      <c r="AK91" s="179">
        <f>VLOOKUP($H91,'Material impact data'!$E$19:$AM$61,'Material impact data'!AK$15,0)/VLOOKUP($H91,'Material impact data'!$E$19:$AM$61,4,0)*$I91</f>
        <v>1.5428951999999999E-3</v>
      </c>
      <c r="AL91" s="179">
        <f>VLOOKUP($H91,'Material impact data'!$E$19:$AM$61,'Material impact data'!AL$15,0)/VLOOKUP($H91,'Material impact data'!$E$19:$AM$61,4,0)*$I91</f>
        <v>-3.1091676E-4</v>
      </c>
      <c r="AM91" s="179">
        <f>VLOOKUP($H91,'Material impact data'!$E$19:$AM$61,'Material impact data'!AM$15,0)/VLOOKUP($H91,'Material impact data'!$E$19:$AM$61,4,0)*$I91</f>
        <v>1.8467987999999995E-12</v>
      </c>
      <c r="AO91" s="189">
        <f>M91/'Building &amp; Material inputs'!$C$18/'Building &amp; Material inputs'!$C$19</f>
        <v>5.5919366262814539E-2</v>
      </c>
      <c r="AP91" s="189">
        <f>N91/'Building &amp; Material inputs'!$C$18/'Building &amp; Material inputs'!$C$19</f>
        <v>0.74982786579683125</v>
      </c>
      <c r="AQ91" s="141">
        <f>O91/'Building &amp; Material inputs'!$C$18/'Building &amp; Material inputs'!$C$19</f>
        <v>3.7219058713886297E-4</v>
      </c>
      <c r="AR91" s="141">
        <f>P91/'Building &amp; Material inputs'!$C$18/'Building &amp; Material inputs'!$C$19</f>
        <v>7.4256561043802415E-3</v>
      </c>
      <c r="AS91" s="188">
        <f>Q91/'Building &amp; Material inputs'!$C$18/'Building &amp; Material inputs'!$C$19</f>
        <v>1.7338634669151909E-4</v>
      </c>
      <c r="AT91" s="188">
        <f>R91/'Building &amp; Material inputs'!$C$18/'Building &amp; Material inputs'!$C$19</f>
        <v>1.8155638397017706E-3</v>
      </c>
      <c r="AU91" s="189">
        <f>S91/'Building &amp; Material inputs'!$C$18/'Building &amp; Material inputs'!$C$19</f>
        <v>5.7008704566635593E-2</v>
      </c>
      <c r="AV91" s="189">
        <f>T91/'Building &amp; Material inputs'!$C$18/'Building &amp; Material inputs'!$C$19</f>
        <v>0.67720531220876046</v>
      </c>
      <c r="AW91" s="189">
        <f>U91/'Building &amp; Material inputs'!$C$18/'Building &amp; Material inputs'!$C$19</f>
        <v>4.8475554520037281E-8</v>
      </c>
      <c r="AX91" s="189">
        <f>V91/'Building &amp; Material inputs'!$C$18/'Building &amp; Material inputs'!$C$19</f>
        <v>1.8119327120223673E-4</v>
      </c>
      <c r="AY91" s="189">
        <f>W91/'Building &amp; Material inputs'!$C$18/'Building &amp; Material inputs'!$C$19</f>
        <v>3.7400615097856473E-5</v>
      </c>
      <c r="AZ91" s="189">
        <f>X91/'Building &amp; Material inputs'!$C$18/'Building &amp; Material inputs'!$C$19</f>
        <v>9.4227763280521894E-6</v>
      </c>
      <c r="BA91" s="189">
        <f>Y91/'Building &amp; Material inputs'!$C$18/'Building &amp; Material inputs'!$C$19</f>
        <v>9.186753028890959E-11</v>
      </c>
      <c r="BB91" s="141">
        <f>Z91/'Building &amp; Material inputs'!$C$18/'Building &amp; Material inputs'!$C$19</f>
        <v>5.355913327120224E-4</v>
      </c>
      <c r="BC91" s="141">
        <f>AA91/'Building &amp; Material inputs'!$C$18/'Building &amp; Material inputs'!$C$19</f>
        <v>7.4075004659832234E-3</v>
      </c>
      <c r="BD91" s="141">
        <f>AB91/'Building &amp; Material inputs'!$C$18/'Building &amp; Material inputs'!$C$19</f>
        <v>4.3028863000931976E-11</v>
      </c>
      <c r="BE91" s="141">
        <f>AC91/'Building &amp; Material inputs'!$C$18/'Building &amp; Material inputs'!$C$19</f>
        <v>2.2512991612301958E-6</v>
      </c>
      <c r="BF91" s="141">
        <f>AD91/'Building &amp; Material inputs'!$C$18/'Building &amp; Material inputs'!$C$19</f>
        <v>5.5919366262814541E-7</v>
      </c>
      <c r="BG91" s="141">
        <f>AE91/'Building &amp; Material inputs'!$C$18/'Building &amp; Material inputs'!$C$19</f>
        <v>-8.2245041938490204E-7</v>
      </c>
      <c r="BH91" s="141">
        <f>AF91/'Building &amp; Material inputs'!$C$18/'Building &amp; Material inputs'!$C$19</f>
        <v>1.7974082013047531E-16</v>
      </c>
      <c r="BI91" s="188">
        <f>AG91/'Building &amp; Material inputs'!$C$18/'Building &amp; Material inputs'!$C$19</f>
        <v>4.2665750232991615E-4</v>
      </c>
      <c r="BJ91" s="188">
        <f>AH91/'Building &amp; Material inputs'!$C$18/'Building &amp; Material inputs'!$C$19</f>
        <v>1.7719903075489279E-3</v>
      </c>
      <c r="BK91" s="188">
        <f>AI91/'Building &amp; Material inputs'!$C$18/'Building &amp; Material inputs'!$C$19</f>
        <v>3.6855945945945946E-11</v>
      </c>
      <c r="BL91" s="188">
        <f>AJ91/'Building &amp; Material inputs'!$C$18/'Building &amp; Material inputs'!$C$19</f>
        <v>7.2440997204100642E-7</v>
      </c>
      <c r="BM91" s="188">
        <f>AK91/'Building &amp; Material inputs'!$C$18/'Building &amp; Material inputs'!$C$19</f>
        <v>1.1982721342031687E-7</v>
      </c>
      <c r="BN91" s="188">
        <f>AL91/'Building &amp; Material inputs'!$C$18/'Building &amp; Material inputs'!$C$19</f>
        <v>-2.4146999068033551E-8</v>
      </c>
      <c r="BO91" s="188">
        <f>AM91/'Building &amp; Material inputs'!$C$18/'Building &amp; Material inputs'!$C$19</f>
        <v>1.4342954333643987E-16</v>
      </c>
    </row>
    <row r="92" spans="2:67" x14ac:dyDescent="0.25">
      <c r="B92" s="334"/>
      <c r="C92" s="305"/>
      <c r="D92" s="302"/>
      <c r="E92" s="302"/>
      <c r="F92" s="9" t="s">
        <v>185</v>
      </c>
      <c r="G92" s="7" t="s">
        <v>364</v>
      </c>
      <c r="H92" s="7" t="str">
        <f>'Material quantities'!G92</f>
        <v>PLASM</v>
      </c>
      <c r="I92" s="38">
        <f>'Material quantities'!O92</f>
        <v>844.80000000000007</v>
      </c>
      <c r="J92" s="42" t="s">
        <v>15</v>
      </c>
      <c r="K92" s="2"/>
      <c r="L92" s="144">
        <f>VLOOKUP($H92,'Material impact data'!$E$19:$AM$61,6,0)/VLOOKUP($H92,'Material impact data'!$E$19:$AM$61,4,0)*$I92</f>
        <v>1267.2</v>
      </c>
      <c r="M92" s="138">
        <f>VLOOKUP($H92,'Material impact data'!$E$19:$AM$61,'Material impact data'!M$15,0)/VLOOKUP($H92,'Material impact data'!$E$19:$AM$61,4,0)*$I92</f>
        <v>660.63360000000011</v>
      </c>
      <c r="N92" s="138">
        <f>VLOOKUP($H92,'Material impact data'!$E$19:$AM$61,'Material impact data'!N$15,0)/VLOOKUP($H92,'Material impact data'!$E$19:$AM$61,4,0)*$I92</f>
        <v>2965.248</v>
      </c>
      <c r="O92" s="180">
        <f>VLOOKUP($H92,'Material impact data'!$E$19:$AM$61,'Material impact data'!O$15,0)/VLOOKUP($H92,'Material impact data'!$E$19:$AM$61,4,0)*$I92</f>
        <v>16.64256</v>
      </c>
      <c r="P92" s="180">
        <f>VLOOKUP($H92,'Material impact data'!$E$19:$AM$61,'Material impact data'!P$15,0)/VLOOKUP($H92,'Material impact data'!$E$19:$AM$61,4,0)*$I92</f>
        <v>247.5264</v>
      </c>
      <c r="Q92" s="179">
        <f>VLOOKUP($H92,'Material impact data'!$E$19:$AM$61,'Material impact data'!Q$15,0)/VLOOKUP($H92,'Material impact data'!$E$19:$AM$61,4,0)*$I92</f>
        <v>2.0021760000000004</v>
      </c>
      <c r="R92" s="179">
        <f>VLOOKUP($H92,'Material impact data'!$E$19:$AM$61,'Material impact data'!R$15,0)/VLOOKUP($H92,'Material impact data'!$E$19:$AM$61,4,0)*$I92</f>
        <v>10.39104</v>
      </c>
      <c r="S92" s="138">
        <f>VLOOKUP($H92,'Material impact data'!$E$19:$AM$61,'Material impact data'!S$15,0)/VLOOKUP($H92,'Material impact data'!$E$19:$AM$61,4,0)*$I92</f>
        <v>315.95520000000005</v>
      </c>
      <c r="T92" s="138">
        <f>VLOOKUP($H92,'Material impact data'!$E$19:$AM$61,'Material impact data'!T$15,0)/VLOOKUP($H92,'Material impact data'!$E$19:$AM$61,4,0)*$I92</f>
        <v>2728.7040000000002</v>
      </c>
      <c r="U92" s="138">
        <f>VLOOKUP($H92,'Material impact data'!$E$19:$AM$61,'Material impact data'!U$15,0)/VLOOKUP($H92,'Material impact data'!$E$19:$AM$61,4,0)*$I92</f>
        <v>7.2737280000000006E-4</v>
      </c>
      <c r="V92" s="138">
        <f>VLOOKUP($H92,'Material impact data'!$E$19:$AM$61,'Material impact data'!V$15,0)/VLOOKUP($H92,'Material impact data'!$E$19:$AM$61,4,0)*$I92</f>
        <v>0.77721600000000013</v>
      </c>
      <c r="W92" s="138">
        <f>VLOOKUP($H92,'Material impact data'!$E$19:$AM$61,'Material impact data'!W$15,0)/VLOOKUP($H92,'Material impact data'!$E$19:$AM$61,4,0)*$I92</f>
        <v>8.000256E-2</v>
      </c>
      <c r="X92" s="138">
        <f>VLOOKUP($H92,'Material impact data'!$E$19:$AM$61,'Material impact data'!X$15,0)/VLOOKUP($H92,'Material impact data'!$E$19:$AM$61,4,0)*$I92</f>
        <v>6.4796160000000005E-2</v>
      </c>
      <c r="Y92" s="138">
        <f>VLOOKUP($H92,'Material impact data'!$E$19:$AM$61,'Material impact data'!Y$15,0)/VLOOKUP($H92,'Material impact data'!$E$19:$AM$61,4,0)*$I92</f>
        <v>2.103552E-6</v>
      </c>
      <c r="Z92" s="180">
        <f>VLOOKUP($H92,'Material impact data'!$E$19:$AM$61,'Material impact data'!Z$15,0)/VLOOKUP($H92,'Material impact data'!$E$19:$AM$61,4,0)*$I92</f>
        <v>18.416640000000001</v>
      </c>
      <c r="AA92" s="180">
        <f>VLOOKUP($H92,'Material impact data'!$E$19:$AM$61,'Material impact data'!AA$15,0)/VLOOKUP($H92,'Material impact data'!$E$19:$AM$61,4,0)*$I92</f>
        <v>246.6816</v>
      </c>
      <c r="AB92" s="180">
        <f>VLOOKUP($H92,'Material impact data'!$E$19:$AM$61,'Material impact data'!AB$15,0)/VLOOKUP($H92,'Material impact data'!$E$19:$AM$61,4,0)*$I92</f>
        <v>1.9092480000000003E-6</v>
      </c>
      <c r="AC92" s="180">
        <f>VLOOKUP($H92,'Material impact data'!$E$19:$AM$61,'Material impact data'!AC$15,0)/VLOOKUP($H92,'Material impact data'!$E$19:$AM$61,4,0)*$I92</f>
        <v>1.4023680000000002E-2</v>
      </c>
      <c r="AD92" s="180">
        <f>VLOOKUP($H92,'Material impact data'!$E$19:$AM$61,'Material impact data'!AD$15,0)/VLOOKUP($H92,'Material impact data'!$E$19:$AM$61,4,0)*$I92</f>
        <v>3.1595520000000004E-3</v>
      </c>
      <c r="AE92" s="180">
        <f>VLOOKUP($H92,'Material impact data'!$E$19:$AM$61,'Material impact data'!AE$15,0)/VLOOKUP($H92,'Material impact data'!$E$19:$AM$61,4,0)*$I92</f>
        <v>-1.9852800000000001E-4</v>
      </c>
      <c r="AF92" s="180">
        <f>VLOOKUP($H92,'Material impact data'!$E$19:$AM$61,'Material impact data'!AF$15,0)/VLOOKUP($H92,'Material impact data'!$E$19:$AM$61,4,0)*$I92</f>
        <v>3.8691840000000007E-13</v>
      </c>
      <c r="AG92" s="179">
        <f>VLOOKUP($H92,'Material impact data'!$E$19:$AM$61,'Material impact data'!AG$15,0)/VLOOKUP($H92,'Material impact data'!$E$19:$AM$61,4,0)*$I92</f>
        <v>35.228160000000003</v>
      </c>
      <c r="AH92" s="179">
        <f>VLOOKUP($H92,'Material impact data'!$E$19:$AM$61,'Material impact data'!AH$15,0)/VLOOKUP($H92,'Material impact data'!$E$19:$AM$61,4,0)*$I92</f>
        <v>9.3772800000000007</v>
      </c>
      <c r="AI92" s="179">
        <f>VLOOKUP($H92,'Material impact data'!$E$19:$AM$61,'Material impact data'!AI$15,0)/VLOOKUP($H92,'Material impact data'!$E$19:$AM$61,4,0)*$I92</f>
        <v>6.1670400000000007E-7</v>
      </c>
      <c r="AJ92" s="179">
        <f>VLOOKUP($H92,'Material impact data'!$E$19:$AM$61,'Material impact data'!AJ$15,0)/VLOOKUP($H92,'Material impact data'!$E$19:$AM$61,4,0)*$I92</f>
        <v>4.6126080000000007E-3</v>
      </c>
      <c r="AK92" s="179">
        <f>VLOOKUP($H92,'Material impact data'!$E$19:$AM$61,'Material impact data'!AK$15,0)/VLOOKUP($H92,'Material impact data'!$E$19:$AM$61,4,0)*$I92</f>
        <v>1.0222080000000001E-3</v>
      </c>
      <c r="AL92" s="179">
        <f>VLOOKUP($H92,'Material impact data'!$E$19:$AM$61,'Material impact data'!AL$15,0)/VLOOKUP($H92,'Material impact data'!$E$19:$AM$61,4,0)*$I92</f>
        <v>3.0835200000000002E-4</v>
      </c>
      <c r="AM92" s="179">
        <f>VLOOKUP($H92,'Material impact data'!$E$19:$AM$61,'Material impact data'!AM$15,0)/VLOOKUP($H92,'Material impact data'!$E$19:$AM$61,4,0)*$I92</f>
        <v>4.8238080000000007E-13</v>
      </c>
      <c r="AO92" s="189">
        <f>M92/'Building &amp; Material inputs'!$C$18/'Building &amp; Material inputs'!$C$19</f>
        <v>5.1307362534948754E-2</v>
      </c>
      <c r="AP92" s="189">
        <f>N92/'Building &amp; Material inputs'!$C$18/'Building &amp; Material inputs'!$C$19</f>
        <v>0.23029263746505127</v>
      </c>
      <c r="AQ92" s="141">
        <f>O92/'Building &amp; Material inputs'!$C$18/'Building &amp; Material inputs'!$C$19</f>
        <v>1.2925256290773532E-3</v>
      </c>
      <c r="AR92" s="141">
        <f>P92/'Building &amp; Material inputs'!$C$18/'Building &amp; Material inputs'!$C$19</f>
        <v>1.9223858341099721E-2</v>
      </c>
      <c r="AS92" s="188">
        <f>Q92/'Building &amp; Material inputs'!$C$18/'Building &amp; Material inputs'!$C$19</f>
        <v>1.554967381174278E-4</v>
      </c>
      <c r="AT92" s="188">
        <f>R92/'Building &amp; Material inputs'!$C$18/'Building &amp; Material inputs'!$C$19</f>
        <v>8.0700838769804306E-4</v>
      </c>
      <c r="AU92" s="189">
        <f>S92/'Building &amp; Material inputs'!$C$18/'Building &amp; Material inputs'!$C$19</f>
        <v>2.4538303821062448E-2</v>
      </c>
      <c r="AV92" s="189">
        <f>T92/'Building &amp; Material inputs'!$C$18/'Building &amp; Material inputs'!$C$19</f>
        <v>0.21192171481826658</v>
      </c>
      <c r="AW92" s="189">
        <f>U92/'Building &amp; Material inputs'!$C$18/'Building &amp; Material inputs'!$C$19</f>
        <v>5.6490587138863008E-8</v>
      </c>
      <c r="AX92" s="189">
        <f>V92/'Building &amp; Material inputs'!$C$18/'Building &amp; Material inputs'!$C$19</f>
        <v>6.0361602982292657E-5</v>
      </c>
      <c r="AY92" s="189">
        <f>W92/'Building &amp; Material inputs'!$C$18/'Building &amp; Material inputs'!$C$19</f>
        <v>6.2133084808946876E-6</v>
      </c>
      <c r="AZ92" s="189">
        <f>X92/'Building &amp; Material inputs'!$C$18/'Building &amp; Material inputs'!$C$19</f>
        <v>5.0323205964585284E-6</v>
      </c>
      <c r="BA92" s="189">
        <f>Y92/'Building &amp; Material inputs'!$C$18/'Building &amp; Material inputs'!$C$19</f>
        <v>1.6336999068033554E-10</v>
      </c>
      <c r="BB92" s="141">
        <f>Z92/'Building &amp; Material inputs'!$C$18/'Building &amp; Material inputs'!$C$19</f>
        <v>1.4303075489282388E-3</v>
      </c>
      <c r="BC92" s="141">
        <f>AA92/'Building &amp; Material inputs'!$C$18/'Building &amp; Material inputs'!$C$19</f>
        <v>1.9158247903075493E-2</v>
      </c>
      <c r="BD92" s="141">
        <f>AB92/'Building &amp; Material inputs'!$C$18/'Building &amp; Material inputs'!$C$19</f>
        <v>1.482795899347624E-10</v>
      </c>
      <c r="BE92" s="141">
        <f>AC92/'Building &amp; Material inputs'!$C$18/'Building &amp; Material inputs'!$C$19</f>
        <v>1.0891332712022369E-6</v>
      </c>
      <c r="BF92" s="141">
        <f>AD92/'Building &amp; Material inputs'!$C$18/'Building &amp; Material inputs'!$C$19</f>
        <v>2.4538303821062448E-7</v>
      </c>
      <c r="BG92" s="141">
        <f>AE92/'Building &amp; Material inputs'!$C$18/'Building &amp; Material inputs'!$C$19</f>
        <v>-1.5418452935694319E-8</v>
      </c>
      <c r="BH92" s="141">
        <f>AF92/'Building &amp; Material inputs'!$C$18/'Building &amp; Material inputs'!$C$19</f>
        <v>3.0049580615097865E-17</v>
      </c>
      <c r="BI92" s="188">
        <f>AG92/'Building &amp; Material inputs'!$C$18/'Building &amp; Material inputs'!$C$19</f>
        <v>2.7359552656104386E-3</v>
      </c>
      <c r="BJ92" s="188">
        <f>AH92/'Building &amp; Material inputs'!$C$18/'Building &amp; Material inputs'!$C$19</f>
        <v>7.2827586206896571E-4</v>
      </c>
      <c r="BK92" s="188">
        <f>AI92/'Building &amp; Material inputs'!$C$18/'Building &amp; Material inputs'!$C$19</f>
        <v>4.7895619757688732E-11</v>
      </c>
      <c r="BL92" s="188">
        <f>AJ92/'Building &amp; Material inputs'!$C$18/'Building &amp; Material inputs'!$C$19</f>
        <v>3.5823299161230206E-7</v>
      </c>
      <c r="BM92" s="188">
        <f>AK92/'Building &amp; Material inputs'!$C$18/'Building &amp; Material inputs'!$C$19</f>
        <v>7.9388630009319683E-8</v>
      </c>
      <c r="BN92" s="188">
        <f>AL92/'Building &amp; Material inputs'!$C$18/'Building &amp; Material inputs'!$C$19</f>
        <v>2.3947809878844364E-8</v>
      </c>
      <c r="BO92" s="188">
        <f>AM92/'Building &amp; Material inputs'!$C$18/'Building &amp; Material inputs'!$C$19</f>
        <v>3.7463560111835987E-17</v>
      </c>
    </row>
    <row r="93" spans="2:67" x14ac:dyDescent="0.25">
      <c r="B93" s="334"/>
      <c r="C93" s="305"/>
      <c r="D93" s="302"/>
      <c r="E93" s="9" t="s">
        <v>158</v>
      </c>
      <c r="F93" s="9" t="s">
        <v>186</v>
      </c>
      <c r="G93" s="17" t="s">
        <v>68</v>
      </c>
      <c r="H93" s="7" t="str">
        <f>'Material quantities'!G93</f>
        <v>ST-SL</v>
      </c>
      <c r="I93" s="38">
        <f>'Material quantities'!O93</f>
        <v>52.25</v>
      </c>
      <c r="J93" s="42" t="s">
        <v>15</v>
      </c>
      <c r="K93" s="2"/>
      <c r="L93" s="144">
        <f>VLOOKUP($H93,'Material impact data'!$E$19:$AM$61,6,0)/VLOOKUP($H93,'Material impact data'!$E$19:$AM$61,4,0)*$I93</f>
        <v>756.0575</v>
      </c>
      <c r="M93" s="138">
        <f>VLOOKUP($H93,'Material impact data'!$E$19:$AM$61,'Material impact data'!M$15,0)/VLOOKUP($H93,'Material impact data'!$E$19:$AM$61,4,0)*$I93</f>
        <v>514.14</v>
      </c>
      <c r="N93" s="138">
        <f>VLOOKUP($H93,'Material impact data'!$E$19:$AM$61,'Material impact data'!N$15,0)/VLOOKUP($H93,'Material impact data'!$E$19:$AM$61,4,0)*$I93</f>
        <v>3370.125</v>
      </c>
      <c r="O93" s="180">
        <f>VLOOKUP($H93,'Material impact data'!$E$19:$AM$61,'Material impact data'!O$15,0)/VLOOKUP($H93,'Material impact data'!$E$19:$AM$61,4,0)*$I93</f>
        <v>7.8897499999999992E-4</v>
      </c>
      <c r="P93" s="180">
        <f>VLOOKUP($H93,'Material impact data'!$E$19:$AM$61,'Material impact data'!P$15,0)/VLOOKUP($H93,'Material impact data'!$E$19:$AM$61,4,0)*$I93</f>
        <v>6.53125</v>
      </c>
      <c r="Q93" s="179">
        <f>VLOOKUP($H93,'Material impact data'!$E$19:$AM$61,'Material impact data'!Q$15,0)/VLOOKUP($H93,'Material impact data'!$E$19:$AM$61,4,0)*$I93</f>
        <v>98.752499999999998</v>
      </c>
      <c r="R93" s="179">
        <f>VLOOKUP($H93,'Material impact data'!$E$19:$AM$61,'Material impact data'!R$15,0)/VLOOKUP($H93,'Material impact data'!$E$19:$AM$61,4,0)*$I93</f>
        <v>397.51799999999997</v>
      </c>
      <c r="S93" s="138">
        <f>VLOOKUP($H93,'Material impact data'!$E$19:$AM$61,'Material impact data'!S$15,0)/VLOOKUP($H93,'Material impact data'!$E$19:$AM$61,4,0)*$I93</f>
        <v>246.61999999999998</v>
      </c>
      <c r="T93" s="138">
        <f>VLOOKUP($H93,'Material impact data'!$E$19:$AM$61,'Material impact data'!T$15,0)/VLOOKUP($H93,'Material impact data'!$E$19:$AM$61,4,0)*$I93</f>
        <v>3317.875</v>
      </c>
      <c r="U93" s="138">
        <f>VLOOKUP($H93,'Material impact data'!$E$19:$AM$61,'Material impact data'!U$15,0)/VLOOKUP($H93,'Material impact data'!$E$19:$AM$61,4,0)*$I93</f>
        <v>3.2238250000000003E-2</v>
      </c>
      <c r="V93" s="138">
        <f>VLOOKUP($H93,'Material impact data'!$E$19:$AM$61,'Material impact data'!V$15,0)/VLOOKUP($H93,'Material impact data'!$E$19:$AM$61,4,0)*$I93</f>
        <v>3.2133750000000001</v>
      </c>
      <c r="W93" s="138">
        <f>VLOOKUP($H93,'Material impact data'!$E$19:$AM$61,'Material impact data'!W$15,0)/VLOOKUP($H93,'Material impact data'!$E$19:$AM$61,4,0)*$I93</f>
        <v>0.1614525</v>
      </c>
      <c r="X93" s="138">
        <f>VLOOKUP($H93,'Material impact data'!$E$19:$AM$61,'Material impact data'!X$15,0)/VLOOKUP($H93,'Material impact data'!$E$19:$AM$61,4,0)*$I93</f>
        <v>1.51525</v>
      </c>
      <c r="Y93" s="138">
        <f>VLOOKUP($H93,'Material impact data'!$E$19:$AM$61,'Material impact data'!Y$15,0)/VLOOKUP($H93,'Material impact data'!$E$19:$AM$61,4,0)*$I93</f>
        <v>1.342825E-5</v>
      </c>
      <c r="Z93" s="180">
        <f>VLOOKUP($H93,'Material impact data'!$E$19:$AM$61,'Material impact data'!Z$15,0)/VLOOKUP($H93,'Material impact data'!$E$19:$AM$61,4,0)*$I93</f>
        <v>18.9145</v>
      </c>
      <c r="AA93" s="180">
        <f>VLOOKUP($H93,'Material impact data'!$E$19:$AM$61,'Material impact data'!AA$15,0)/VLOOKUP($H93,'Material impact data'!$E$19:$AM$61,4,0)*$I93</f>
        <v>2080.2292500000003</v>
      </c>
      <c r="AB93" s="180">
        <f>VLOOKUP($H93,'Material impact data'!$E$19:$AM$61,'Material impact data'!AB$15,0)/VLOOKUP($H93,'Material impact data'!$E$19:$AM$61,4,0)*$I93</f>
        <v>1.1338249999999999E-2</v>
      </c>
      <c r="AC93" s="180">
        <f>VLOOKUP($H93,'Material impact data'!$E$19:$AM$61,'Material impact data'!AC$15,0)/VLOOKUP($H93,'Material impact data'!$E$19:$AM$61,4,0)*$I93</f>
        <v>1.3062500000000001</v>
      </c>
      <c r="AD93" s="180">
        <f>VLOOKUP($H93,'Material impact data'!$E$19:$AM$61,'Material impact data'!AD$15,0)/VLOOKUP($H93,'Material impact data'!$E$19:$AM$61,4,0)*$I93</f>
        <v>0.26124999999999998</v>
      </c>
      <c r="AE93" s="180">
        <f>VLOOKUP($H93,'Material impact data'!$E$19:$AM$61,'Material impact data'!AE$15,0)/VLOOKUP($H93,'Material impact data'!$E$19:$AM$61,4,0)*$I93</f>
        <v>5.2249999999999998E-2</v>
      </c>
      <c r="AF93" s="180">
        <f>VLOOKUP($H93,'Material impact data'!$E$19:$AM$61,'Material impact data'!AF$15,0)/VLOOKUP($H93,'Material impact data'!$E$19:$AM$61,4,0)*$I93</f>
        <v>2.460975E-2</v>
      </c>
      <c r="AG93" s="179">
        <f>VLOOKUP($H93,'Material impact data'!$E$19:$AM$61,'Material impact data'!AG$15,0)/VLOOKUP($H93,'Material impact data'!$E$19:$AM$61,4,0)*$I93</f>
        <v>0.99275000000000002</v>
      </c>
      <c r="AH93" s="179">
        <f>VLOOKUP($H93,'Material impact data'!$E$19:$AM$61,'Material impact data'!AH$15,0)/VLOOKUP($H93,'Material impact data'!$E$19:$AM$61,4,0)*$I93</f>
        <v>13.8985</v>
      </c>
      <c r="AI93" s="179">
        <f>VLOOKUP($H93,'Material impact data'!$E$19:$AM$61,'Material impact data'!AI$15,0)/VLOOKUP($H93,'Material impact data'!$E$19:$AM$61,4,0)*$I93</f>
        <v>3.66795E-5</v>
      </c>
      <c r="AJ93" s="179">
        <f>VLOOKUP($H93,'Material impact data'!$E$19:$AM$61,'Material impact data'!AJ$15,0)/VLOOKUP($H93,'Material impact data'!$E$19:$AM$61,4,0)*$I93</f>
        <v>4.3628749999999996E-3</v>
      </c>
      <c r="AK93" s="179">
        <f>VLOOKUP($H93,'Material impact data'!$E$19:$AM$61,'Material impact data'!AK$15,0)/VLOOKUP($H93,'Material impact data'!$E$19:$AM$61,4,0)*$I93</f>
        <v>1.781725E-2</v>
      </c>
      <c r="AL93" s="179">
        <f>VLOOKUP($H93,'Material impact data'!$E$19:$AM$61,'Material impact data'!AL$15,0)/VLOOKUP($H93,'Material impact data'!$E$19:$AM$61,4,0)*$I93</f>
        <v>8.4122499999999992E-4</v>
      </c>
      <c r="AM93" s="179">
        <f>VLOOKUP($H93,'Material impact data'!$E$19:$AM$61,'Material impact data'!AM$15,0)/VLOOKUP($H93,'Material impact data'!$E$19:$AM$61,4,0)*$I93</f>
        <v>6.5312499999999997E-8</v>
      </c>
      <c r="AO93" s="189">
        <f>M93/'Building &amp; Material inputs'!$C$18/'Building &amp; Material inputs'!$C$19</f>
        <v>3.9930102516309414E-2</v>
      </c>
      <c r="AP93" s="189">
        <f>N93/'Building &amp; Material inputs'!$C$18/'Building &amp; Material inputs'!$C$19</f>
        <v>0.26173695246971113</v>
      </c>
      <c r="AQ93" s="141">
        <f>O93/'Building &amp; Material inputs'!$C$18/'Building &amp; Material inputs'!$C$19</f>
        <v>6.1274852438645544E-8</v>
      </c>
      <c r="AR93" s="141">
        <f>P93/'Building &amp; Material inputs'!$C$18/'Building &amp; Material inputs'!$C$19</f>
        <v>5.0724215594905248E-4</v>
      </c>
      <c r="AS93" s="188">
        <f>Q93/'Building &amp; Material inputs'!$C$18/'Building &amp; Material inputs'!$C$19</f>
        <v>7.6695013979496737E-3</v>
      </c>
      <c r="AT93" s="188">
        <f>R93/'Building &amp; Material inputs'!$C$18/'Building &amp; Material inputs'!$C$19</f>
        <v>3.0872786579683131E-2</v>
      </c>
      <c r="AU93" s="189">
        <f>S93/'Building &amp; Material inputs'!$C$18/'Building &amp; Material inputs'!$C$19</f>
        <v>1.9153463808636223E-2</v>
      </c>
      <c r="AV93" s="189">
        <f>T93/'Building &amp; Material inputs'!$C$18/'Building &amp; Material inputs'!$C$19</f>
        <v>0.25767901522211867</v>
      </c>
      <c r="AW93" s="189">
        <f>U93/'Building &amp; Material inputs'!$C$18/'Building &amp; Material inputs'!$C$19</f>
        <v>2.5037472817645232E-6</v>
      </c>
      <c r="AX93" s="189">
        <f>V93/'Building &amp; Material inputs'!$C$18/'Building &amp; Material inputs'!$C$19</f>
        <v>2.4956314072693386E-4</v>
      </c>
      <c r="AY93" s="189">
        <f>W93/'Building &amp; Material inputs'!$C$18/'Building &amp; Material inputs'!$C$19</f>
        <v>1.2539026095060579E-5</v>
      </c>
      <c r="AZ93" s="189">
        <f>X93/'Building &amp; Material inputs'!$C$18/'Building &amp; Material inputs'!$C$19</f>
        <v>1.176801801801802E-4</v>
      </c>
      <c r="BA93" s="189">
        <f>Y93/'Building &amp; Material inputs'!$C$18/'Building &amp; Material inputs'!$C$19</f>
        <v>1.042889872631252E-9</v>
      </c>
      <c r="BB93" s="141">
        <f>Z93/'Building &amp; Material inputs'!$C$18/'Building &amp; Material inputs'!$C$19</f>
        <v>1.4689732836284562E-3</v>
      </c>
      <c r="BC93" s="141">
        <f>AA93/'Building &amp; Material inputs'!$C$18/'Building &amp; Material inputs'!$C$19</f>
        <v>0.16155865563839705</v>
      </c>
      <c r="BD93" s="141">
        <f>AB93/'Building &amp; Material inputs'!$C$18/'Building &amp; Material inputs'!$C$19</f>
        <v>8.8057238272755521E-7</v>
      </c>
      <c r="BE93" s="141">
        <f>AC93/'Building &amp; Material inputs'!$C$18/'Building &amp; Material inputs'!$C$19</f>
        <v>1.0144843118981051E-4</v>
      </c>
      <c r="BF93" s="141">
        <f>AD93/'Building &amp; Material inputs'!$C$18/'Building &amp; Material inputs'!$C$19</f>
        <v>2.0289686237962101E-5</v>
      </c>
      <c r="BG93" s="141">
        <f>AE93/'Building &amp; Material inputs'!$C$18/'Building &amp; Material inputs'!$C$19</f>
        <v>4.0579372475924206E-6</v>
      </c>
      <c r="BH93" s="141">
        <f>AF93/'Building &amp; Material inputs'!$C$18/'Building &amp; Material inputs'!$C$19</f>
        <v>1.91128844361603E-6</v>
      </c>
      <c r="BI93" s="188">
        <f>AG93/'Building &amp; Material inputs'!$C$18/'Building &amp; Material inputs'!$C$19</f>
        <v>7.7100807704255981E-5</v>
      </c>
      <c r="BJ93" s="188">
        <f>AH93/'Building &amp; Material inputs'!$C$18/'Building &amp; Material inputs'!$C$19</f>
        <v>1.0794113078595837E-3</v>
      </c>
      <c r="BK93" s="188">
        <f>AI93/'Building &amp; Material inputs'!$C$18/'Building &amp; Material inputs'!$C$19</f>
        <v>2.8486719478098789E-9</v>
      </c>
      <c r="BL93" s="188">
        <f>AJ93/'Building &amp; Material inputs'!$C$18/'Building &amp; Material inputs'!$C$19</f>
        <v>3.3883776017396702E-7</v>
      </c>
      <c r="BM93" s="188">
        <f>AK93/'Building &amp; Material inputs'!$C$18/'Building &amp; Material inputs'!$C$19</f>
        <v>1.3837566014290154E-6</v>
      </c>
      <c r="BN93" s="188">
        <f>AL93/'Building &amp; Material inputs'!$C$18/'Building &amp; Material inputs'!$C$19</f>
        <v>6.5332789686237965E-8</v>
      </c>
      <c r="BO93" s="188">
        <f>AM93/'Building &amp; Material inputs'!$C$18/'Building &amp; Material inputs'!$C$19</f>
        <v>5.0724215594905255E-12</v>
      </c>
    </row>
    <row r="94" spans="2:67" x14ac:dyDescent="0.25">
      <c r="B94" s="334"/>
      <c r="C94" s="305"/>
      <c r="D94" s="302"/>
      <c r="E94" s="9" t="s">
        <v>392</v>
      </c>
      <c r="F94" s="9" t="s">
        <v>187</v>
      </c>
      <c r="G94" s="17" t="s">
        <v>391</v>
      </c>
      <c r="H94" s="7" t="str">
        <f>'Material quantities'!G94</f>
        <v>WDOOR</v>
      </c>
      <c r="I94" s="38">
        <f>'Material quantities'!O94</f>
        <v>7.64</v>
      </c>
      <c r="J94" s="42" t="s">
        <v>332</v>
      </c>
      <c r="K94" s="2"/>
      <c r="L94" s="144">
        <f>VLOOKUP($H94,'Material impact data'!$E$19:$AM$61,6,0)/VLOOKUP($H94,'Material impact data'!$E$19:$AM$61,4,0)*$I94</f>
        <v>1123.4053852465129</v>
      </c>
      <c r="M94" s="138">
        <f>VLOOKUP($H94,'Material impact data'!$E$19:$AM$61,'Material impact data'!M$15,0)/VLOOKUP($H94,'Material impact data'!$E$19:$AM$61,4,0)*$I94</f>
        <v>5230.7615872305514</v>
      </c>
      <c r="N94" s="138">
        <f>VLOOKUP($H94,'Material impact data'!$E$19:$AM$61,'Material impact data'!N$15,0)/VLOOKUP($H94,'Material impact data'!$E$19:$AM$61,4,0)*$I94</f>
        <v>3971.8939360035797</v>
      </c>
      <c r="O94" s="180">
        <f>VLOOKUP($H94,'Material impact data'!$E$19:$AM$61,'Material impact data'!O$15,0)/VLOOKUP($H94,'Material impact data'!$E$19:$AM$61,4,0)*$I94</f>
        <v>0</v>
      </c>
      <c r="P94" s="180">
        <f>VLOOKUP($H94,'Material impact data'!$E$19:$AM$61,'Material impact data'!P$15,0)/VLOOKUP($H94,'Material impact data'!$E$19:$AM$61,4,0)*$I94</f>
        <v>0</v>
      </c>
      <c r="Q94" s="179">
        <f>VLOOKUP($H94,'Material impact data'!$E$19:$AM$61,'Material impact data'!Q$15,0)/VLOOKUP($H94,'Material impact data'!$E$19:$AM$61,4,0)*$I94</f>
        <v>124.85447900350563</v>
      </c>
      <c r="R94" s="179">
        <f>VLOOKUP($H94,'Material impact data'!$E$19:$AM$61,'Material impact data'!R$15,0)/VLOOKUP($H94,'Material impact data'!$E$19:$AM$61,4,0)*$I94</f>
        <v>44.220481837845902</v>
      </c>
      <c r="S94" s="138">
        <f>VLOOKUP($H94,'Material impact data'!$E$19:$AM$61,'Material impact data'!S$15,0)/VLOOKUP($H94,'Material impact data'!$E$19:$AM$61,4,0)*$I94</f>
        <v>-53.993436264637872</v>
      </c>
      <c r="T94" s="138">
        <f>VLOOKUP($H94,'Material impact data'!$E$19:$AM$61,'Material impact data'!T$15,0)/VLOOKUP($H94,'Material impact data'!$E$19:$AM$61,4,0)*$I94</f>
        <v>3562.8544790035053</v>
      </c>
      <c r="U94" s="138">
        <f>VLOOKUP($H94,'Material impact data'!$E$19:$AM$61,'Material impact data'!U$15,0)/VLOOKUP($H94,'Material impact data'!$E$19:$AM$61,4,0)*$I94</f>
        <v>7.6046692026553297E-3</v>
      </c>
      <c r="V94" s="138">
        <f>VLOOKUP($H94,'Material impact data'!$E$19:$AM$61,'Material impact data'!V$15,0)/VLOOKUP($H94,'Material impact data'!$E$19:$AM$61,4,0)*$I94</f>
        <v>0.51534526739762809</v>
      </c>
      <c r="W94" s="138">
        <f>VLOOKUP($H94,'Material impact data'!$E$19:$AM$61,'Material impact data'!W$15,0)/VLOOKUP($H94,'Material impact data'!$E$19:$AM$61,4,0)*$I94</f>
        <v>0.10763071529797867</v>
      </c>
      <c r="X94" s="138">
        <f>VLOOKUP($H94,'Material impact data'!$E$19:$AM$61,'Material impact data'!X$15,0)/VLOOKUP($H94,'Material impact data'!$E$19:$AM$61,4,0)*$I94</f>
        <v>0.10167576639069144</v>
      </c>
      <c r="Y94" s="138">
        <f>VLOOKUP($H94,'Material impact data'!$E$19:$AM$61,'Material impact data'!Y$15,0)/VLOOKUP($H94,'Material impact data'!$E$19:$AM$61,4,0)*$I94</f>
        <v>2.8068039084060564E-10</v>
      </c>
      <c r="Z94" s="180">
        <f>VLOOKUP($H94,'Material impact data'!$E$19:$AM$61,'Material impact data'!Z$15,0)/VLOOKUP($H94,'Material impact data'!$E$19:$AM$61,4,0)*$I94</f>
        <v>1.6269262325650777</v>
      </c>
      <c r="AA94" s="180">
        <f>VLOOKUP($H94,'Material impact data'!$E$19:$AM$61,'Material impact data'!AA$15,0)/VLOOKUP($H94,'Material impact data'!$E$19:$AM$61,4,0)*$I94</f>
        <v>179.04451405981948</v>
      </c>
      <c r="AB94" s="180">
        <f>VLOOKUP($H94,'Material impact data'!$E$19:$AM$61,'Material impact data'!AB$15,0)/VLOOKUP($H94,'Material impact data'!$E$19:$AM$61,4,0)*$I94</f>
        <v>9.7729544267919732E-4</v>
      </c>
      <c r="AC94" s="180">
        <f>VLOOKUP($H94,'Material impact data'!$E$19:$AM$61,'Material impact data'!AC$15,0)/VLOOKUP($H94,'Material impact data'!$E$19:$AM$61,4,0)*$I94</f>
        <v>0.11397031401506674</v>
      </c>
      <c r="AD94" s="180">
        <f>VLOOKUP($H94,'Material impact data'!$E$19:$AM$61,'Material impact data'!AD$15,0)/VLOOKUP($H94,'Material impact data'!$E$19:$AM$61,4,0)*$I94</f>
        <v>2.2794062803013351E-2</v>
      </c>
      <c r="AE94" s="180">
        <f>VLOOKUP($H94,'Material impact data'!$E$19:$AM$61,'Material impact data'!AE$15,0)/VLOOKUP($H94,'Material impact data'!$E$19:$AM$61,4,0)*$I94</f>
        <v>5.6985157007533377E-3</v>
      </c>
      <c r="AF94" s="180">
        <f>VLOOKUP($H94,'Material impact data'!$E$19:$AM$61,'Material impact data'!AF$15,0)/VLOOKUP($H94,'Material impact data'!$E$19:$AM$61,4,0)*$I94</f>
        <v>2.1169985828298648E-3</v>
      </c>
      <c r="AG94" s="179">
        <f>VLOOKUP($H94,'Material impact data'!$E$19:$AM$61,'Material impact data'!AG$15,0)/VLOOKUP($H94,'Material impact data'!$E$19:$AM$61,4,0)*$I94</f>
        <v>30.316103528007758</v>
      </c>
      <c r="AH94" s="179">
        <f>VLOOKUP($H94,'Material impact data'!$E$19:$AM$61,'Material impact data'!AH$15,0)/VLOOKUP($H94,'Material impact data'!$E$19:$AM$61,4,0)*$I94</f>
        <v>9.1632132468113685</v>
      </c>
      <c r="AI94" s="179">
        <f>VLOOKUP($H94,'Material impact data'!$E$19:$AM$61,'Material impact data'!AI$15,0)/VLOOKUP($H94,'Material impact data'!$E$19:$AM$61,4,0)*$I94</f>
        <v>1.0604937719101962E-6</v>
      </c>
      <c r="AJ94" s="179">
        <f>VLOOKUP($H94,'Material impact data'!$E$19:$AM$61,'Material impact data'!AJ$15,0)/VLOOKUP($H94,'Material impact data'!$E$19:$AM$61,4,0)*$I94</f>
        <v>9.9439098978145752E-3</v>
      </c>
      <c r="AK94" s="179">
        <f>VLOOKUP($H94,'Material impact data'!$E$19:$AM$61,'Material impact data'!AK$15,0)/VLOOKUP($H94,'Material impact data'!$E$19:$AM$61,4,0)*$I94</f>
        <v>2.2549026627880957E-3</v>
      </c>
      <c r="AL94" s="179">
        <f>VLOOKUP($H94,'Material impact data'!$E$19:$AM$61,'Material impact data'!AL$15,0)/VLOOKUP($H94,'Material impact data'!$E$19:$AM$61,4,0)*$I94</f>
        <v>5.8181845304691574E-4</v>
      </c>
      <c r="AM94" s="179">
        <f>VLOOKUP($H94,'Material impact data'!$E$19:$AM$61,'Material impact data'!AM$15,0)/VLOOKUP($H94,'Material impact data'!$E$19:$AM$61,4,0)*$I94</f>
        <v>1.1411277690758558E-14</v>
      </c>
      <c r="AO94" s="189">
        <f>M94/'Building &amp; Material inputs'!$C$18/'Building &amp; Material inputs'!$C$19</f>
        <v>0.4062411919253302</v>
      </c>
      <c r="AP94" s="189">
        <f>N94/'Building &amp; Material inputs'!$C$18/'Building &amp; Material inputs'!$C$19</f>
        <v>0.30847265734728024</v>
      </c>
      <c r="AQ94" s="141">
        <f>O94/'Building &amp; Material inputs'!$C$18/'Building &amp; Material inputs'!$C$19</f>
        <v>0</v>
      </c>
      <c r="AR94" s="141">
        <f>P94/'Building &amp; Material inputs'!$C$18/'Building &amp; Material inputs'!$C$19</f>
        <v>0</v>
      </c>
      <c r="AS94" s="188">
        <f>Q94/'Building &amp; Material inputs'!$C$18/'Building &amp; Material inputs'!$C$19</f>
        <v>9.6966821220492109E-3</v>
      </c>
      <c r="AT94" s="188">
        <f>R94/'Building &amp; Material inputs'!$C$18/'Building &amp; Material inputs'!$C$19</f>
        <v>3.4343337867230434E-3</v>
      </c>
      <c r="AU94" s="189">
        <f>S94/'Building &amp; Material inputs'!$C$18/'Building &amp; Material inputs'!$C$19</f>
        <v>-4.1933392563403135E-3</v>
      </c>
      <c r="AV94" s="189">
        <f>T94/'Building &amp; Material inputs'!$C$18/'Building &amp; Material inputs'!$C$19</f>
        <v>0.27670506982009208</v>
      </c>
      <c r="AW94" s="189">
        <f>U94/'Building &amp; Material inputs'!$C$18/'Building &amp; Material inputs'!$C$19</f>
        <v>5.9060804618323469E-7</v>
      </c>
      <c r="AX94" s="189">
        <f>V94/'Building &amp; Material inputs'!$C$18/'Building &amp; Material inputs'!$C$19</f>
        <v>4.0023708247718868E-5</v>
      </c>
      <c r="AY94" s="189">
        <f>W94/'Building &amp; Material inputs'!$C$18/'Building &amp; Material inputs'!$C$19</f>
        <v>8.3590179634963257E-6</v>
      </c>
      <c r="AZ94" s="189">
        <f>X94/'Building &amp; Material inputs'!$C$18/'Building &amp; Material inputs'!$C$19</f>
        <v>7.8965335811347819E-6</v>
      </c>
      <c r="BA94" s="189">
        <f>Y94/'Building &amp; Material inputs'!$C$18/'Building &amp; Material inputs'!$C$19</f>
        <v>2.1798725601165395E-14</v>
      </c>
      <c r="BB94" s="141">
        <f>Z94/'Building &amp; Material inputs'!$C$18/'Building &amp; Material inputs'!$C$19</f>
        <v>1.2635338867389545E-4</v>
      </c>
      <c r="BC94" s="141">
        <f>AA94/'Building &amp; Material inputs'!$C$18/'Building &amp; Material inputs'!$C$19</f>
        <v>1.3905290001539259E-2</v>
      </c>
      <c r="BD94" s="141">
        <f>AB94/'Building &amp; Material inputs'!$C$18/'Building &amp; Material inputs'!$C$19</f>
        <v>7.5900546961727038E-8</v>
      </c>
      <c r="BE94" s="141">
        <f>AC94/'Building &amp; Material inputs'!$C$18/'Building &amp; Material inputs'!$C$19</f>
        <v>8.8513757389769148E-6</v>
      </c>
      <c r="BF94" s="141">
        <f>AD94/'Building &amp; Material inputs'!$C$18/'Building &amp; Material inputs'!$C$19</f>
        <v>1.7702751477953832E-6</v>
      </c>
      <c r="BG94" s="141">
        <f>AE94/'Building &amp; Material inputs'!$C$18/'Building &amp; Material inputs'!$C$19</f>
        <v>4.4256878694884579E-7</v>
      </c>
      <c r="BH94" s="141">
        <f>AF94/'Building &amp; Material inputs'!$C$18/'Building &amp; Material inputs'!$C$19</f>
        <v>1.6441430435149617E-7</v>
      </c>
      <c r="BI94" s="188">
        <f>AG94/'Building &amp; Material inputs'!$C$18/'Building &amp; Material inputs'!$C$19</f>
        <v>2.3544659465678597E-3</v>
      </c>
      <c r="BJ94" s="188">
        <f>AH94/'Building &amp; Material inputs'!$C$18/'Building &amp; Material inputs'!$C$19</f>
        <v>7.1165060941374416E-4</v>
      </c>
      <c r="BK94" s="188">
        <f>AI94/'Building &amp; Material inputs'!$C$18/'Building &amp; Material inputs'!$C$19</f>
        <v>8.2362051251180206E-11</v>
      </c>
      <c r="BL94" s="188">
        <f>AJ94/'Building &amp; Material inputs'!$C$18/'Building &amp; Material inputs'!$C$19</f>
        <v>7.7228253322573593E-7</v>
      </c>
      <c r="BM94" s="188">
        <f>AK94/'Building &amp; Material inputs'!$C$18/'Building &amp; Material inputs'!$C$19</f>
        <v>1.7512446899565828E-7</v>
      </c>
      <c r="BN94" s="188">
        <f>AL94/'Building &amp; Material inputs'!$C$18/'Building &amp; Material inputs'!$C$19</f>
        <v>4.5186273147477147E-8</v>
      </c>
      <c r="BO94" s="188">
        <f>AM94/'Building &amp; Material inputs'!$C$18/'Building &amp; Material inputs'!$C$19</f>
        <v>8.862439958650637E-19</v>
      </c>
    </row>
    <row r="95" spans="2:67" x14ac:dyDescent="0.25">
      <c r="B95" s="334"/>
      <c r="C95" s="305"/>
      <c r="D95" s="302" t="s">
        <v>92</v>
      </c>
      <c r="E95" s="304" t="s">
        <v>159</v>
      </c>
      <c r="F95" s="9" t="s">
        <v>188</v>
      </c>
      <c r="G95" s="7" t="s">
        <v>65</v>
      </c>
      <c r="H95" s="7" t="str">
        <f>'Material quantities'!G95</f>
        <v>CEFT</v>
      </c>
      <c r="I95" s="38">
        <f>'Material quantities'!O95</f>
        <v>13.716000000000001</v>
      </c>
      <c r="J95" s="42" t="s">
        <v>332</v>
      </c>
      <c r="K95" s="2"/>
      <c r="L95" s="144">
        <f>VLOOKUP($H95,'Material impact data'!$E$19:$AM$61,6,0)/VLOOKUP($H95,'Material impact data'!$E$19:$AM$61,4,0)*$I95</f>
        <v>441.79236000000003</v>
      </c>
      <c r="M95" s="138">
        <f>VLOOKUP($H95,'Material impact data'!$E$19:$AM$61,'Material impact data'!M$15,0)/VLOOKUP($H95,'Material impact data'!$E$19:$AM$61,4,0)*$I95</f>
        <v>559.61279999999999</v>
      </c>
      <c r="N95" s="138">
        <f>VLOOKUP($H95,'Material impact data'!$E$19:$AM$61,'Material impact data'!N$15,0)/VLOOKUP($H95,'Material impact data'!$E$19:$AM$61,4,0)*$I95</f>
        <v>2578.6080000000002</v>
      </c>
      <c r="O95" s="180">
        <f>VLOOKUP($H95,'Material impact data'!$E$19:$AM$61,'Material impact data'!O$15,0)/VLOOKUP($H95,'Material impact data'!$E$19:$AM$61,4,0)*$I95</f>
        <v>0.17419320000000002</v>
      </c>
      <c r="P95" s="180">
        <f>VLOOKUP($H95,'Material impact data'!$E$19:$AM$61,'Material impact data'!P$15,0)/VLOOKUP($H95,'Material impact data'!$E$19:$AM$61,4,0)*$I95</f>
        <v>126.05004000000001</v>
      </c>
      <c r="Q95" s="179">
        <f>VLOOKUP($H95,'Material impact data'!$E$19:$AM$61,'Material impact data'!Q$15,0)/VLOOKUP($H95,'Material impact data'!$E$19:$AM$61,4,0)*$I95</f>
        <v>27.56916</v>
      </c>
      <c r="R95" s="179">
        <f>VLOOKUP($H95,'Material impact data'!$E$19:$AM$61,'Material impact data'!R$15,0)/VLOOKUP($H95,'Material impact data'!$E$19:$AM$61,4,0)*$I95</f>
        <v>142.64640000000003</v>
      </c>
      <c r="S95" s="138">
        <f>VLOOKUP($H95,'Material impact data'!$E$19:$AM$61,'Material impact data'!S$15,0)/VLOOKUP($H95,'Material impact data'!$E$19:$AM$61,4,0)*$I95</f>
        <v>161.84880000000001</v>
      </c>
      <c r="T95" s="138">
        <f>VLOOKUP($H95,'Material impact data'!$E$19:$AM$61,'Material impact data'!T$15,0)/VLOOKUP($H95,'Material impact data'!$E$19:$AM$61,4,0)*$I95</f>
        <v>2235.7080000000001</v>
      </c>
      <c r="U95" s="138">
        <f>VLOOKUP($H95,'Material impact data'!$E$19:$AM$61,'Material impact data'!U$15,0)/VLOOKUP($H95,'Material impact data'!$E$19:$AM$61,4,0)*$I95</f>
        <v>4.73202E-3</v>
      </c>
      <c r="V95" s="138">
        <f>VLOOKUP($H95,'Material impact data'!$E$19:$AM$61,'Material impact data'!V$15,0)/VLOOKUP($H95,'Material impact data'!$E$19:$AM$61,4,0)*$I95</f>
        <v>0.40325040000000001</v>
      </c>
      <c r="W95" s="138">
        <f>VLOOKUP($H95,'Material impact data'!$E$19:$AM$61,'Material impact data'!W$15,0)/VLOOKUP($H95,'Material impact data'!$E$19:$AM$61,4,0)*$I95</f>
        <v>4.8280320000000009E-2</v>
      </c>
      <c r="X95" s="138">
        <f>VLOOKUP($H95,'Material impact data'!$E$19:$AM$61,'Material impact data'!X$15,0)/VLOOKUP($H95,'Material impact data'!$E$19:$AM$61,4,0)*$I95</f>
        <v>2.8666440000000001E-2</v>
      </c>
      <c r="Y95" s="138">
        <f>VLOOKUP($H95,'Material impact data'!$E$19:$AM$61,'Material impact data'!Y$15,0)/VLOOKUP($H95,'Material impact data'!$E$19:$AM$61,4,0)*$I95</f>
        <v>2.7020520000000005E-5</v>
      </c>
      <c r="Z95" s="180">
        <f>VLOOKUP($H95,'Material impact data'!$E$19:$AM$61,'Material impact data'!Z$15,0)/VLOOKUP($H95,'Material impact data'!$E$19:$AM$61,4,0)*$I95</f>
        <v>8.3118960000000008</v>
      </c>
      <c r="AA95" s="180">
        <f>VLOOKUP($H95,'Material impact data'!$E$19:$AM$61,'Material impact data'!AA$15,0)/VLOOKUP($H95,'Material impact data'!$E$19:$AM$61,4,0)*$I95</f>
        <v>118.50624000000002</v>
      </c>
      <c r="AB95" s="180">
        <f>VLOOKUP($H95,'Material impact data'!$E$19:$AM$61,'Material impact data'!AB$15,0)/VLOOKUP($H95,'Material impact data'!$E$19:$AM$61,4,0)*$I95</f>
        <v>3.5661600000000002E-7</v>
      </c>
      <c r="AC95" s="180">
        <f>VLOOKUP($H95,'Material impact data'!$E$19:$AM$61,'Material impact data'!AC$15,0)/VLOOKUP($H95,'Material impact data'!$E$19:$AM$61,4,0)*$I95</f>
        <v>1.3853160000000002E-2</v>
      </c>
      <c r="AD95" s="180">
        <f>VLOOKUP($H95,'Material impact data'!$E$19:$AM$61,'Material impact data'!AD$15,0)/VLOOKUP($H95,'Material impact data'!$E$19:$AM$61,4,0)*$I95</f>
        <v>1.6322040000000002E-3</v>
      </c>
      <c r="AE95" s="180">
        <f>VLOOKUP($H95,'Material impact data'!$E$19:$AM$61,'Material impact data'!AE$15,0)/VLOOKUP($H95,'Material impact data'!$E$19:$AM$61,4,0)*$I95</f>
        <v>6.8991480000000008E-4</v>
      </c>
      <c r="AF95" s="180">
        <f>VLOOKUP($H95,'Material impact data'!$E$19:$AM$61,'Material impact data'!AF$15,0)/VLOOKUP($H95,'Material impact data'!$E$19:$AM$61,4,0)*$I95</f>
        <v>1.536192E-6</v>
      </c>
      <c r="AG95" s="179">
        <f>VLOOKUP($H95,'Material impact data'!$E$19:$AM$61,'Material impact data'!AG$15,0)/VLOOKUP($H95,'Material impact data'!$E$19:$AM$61,4,0)*$I95</f>
        <v>15.224760000000003</v>
      </c>
      <c r="AH95" s="179">
        <f>VLOOKUP($H95,'Material impact data'!$E$19:$AM$61,'Material impact data'!AH$15,0)/VLOOKUP($H95,'Material impact data'!$E$19:$AM$61,4,0)*$I95</f>
        <v>110.27664</v>
      </c>
      <c r="AI95" s="179">
        <f>VLOOKUP($H95,'Material impact data'!$E$19:$AM$61,'Material impact data'!AI$15,0)/VLOOKUP($H95,'Material impact data'!$E$19:$AM$61,4,0)*$I95</f>
        <v>1.4264640000000002E-4</v>
      </c>
      <c r="AJ95" s="179">
        <f>VLOOKUP($H95,'Material impact data'!$E$19:$AM$61,'Material impact data'!AJ$15,0)/VLOOKUP($H95,'Material impact data'!$E$19:$AM$61,4,0)*$I95</f>
        <v>3.5661600000000002E-2</v>
      </c>
      <c r="AK95" s="179">
        <f>VLOOKUP($H95,'Material impact data'!$E$19:$AM$61,'Material impact data'!AK$15,0)/VLOOKUP($H95,'Material impact data'!$E$19:$AM$61,4,0)*$I95</f>
        <v>5.1983640000000005E-3</v>
      </c>
      <c r="AL95" s="179">
        <f>VLOOKUP($H95,'Material impact data'!$E$19:$AM$61,'Material impact data'!AL$15,0)/VLOOKUP($H95,'Material impact data'!$E$19:$AM$61,4,0)*$I95</f>
        <v>2.4825960000000001E-3</v>
      </c>
      <c r="AM95" s="179">
        <f>VLOOKUP($H95,'Material impact data'!$E$19:$AM$61,'Material impact data'!AM$15,0)/VLOOKUP($H95,'Material impact data'!$E$19:$AM$61,4,0)*$I95</f>
        <v>1.1384280000000001E-6</v>
      </c>
      <c r="AO95" s="189">
        <f>M95/'Building &amp; Material inputs'!$C$18/'Building &amp; Material inputs'!$C$19</f>
        <v>4.346169617893756E-2</v>
      </c>
      <c r="AP95" s="189">
        <f>N95/'Building &amp; Material inputs'!$C$18/'Building &amp; Material inputs'!$C$19</f>
        <v>0.20026467847157506</v>
      </c>
      <c r="AQ95" s="141">
        <f>O95/'Building &amp; Material inputs'!$C$18/'Building &amp; Material inputs'!$C$19</f>
        <v>1.3528518173345762E-5</v>
      </c>
      <c r="AR95" s="141">
        <f>P95/'Building &amp; Material inputs'!$C$18/'Building &amp; Material inputs'!$C$19</f>
        <v>9.7895340167753978E-3</v>
      </c>
      <c r="AS95" s="188">
        <f>Q95/'Building &amp; Material inputs'!$C$18/'Building &amp; Material inputs'!$C$19</f>
        <v>2.1411276794035417E-3</v>
      </c>
      <c r="AT95" s="188">
        <f>R95/'Building &amp; Material inputs'!$C$18/'Building &amp; Material inputs'!$C$19</f>
        <v>1.1078471575023303E-2</v>
      </c>
      <c r="AU95" s="189">
        <f>S95/'Building &amp; Material inputs'!$C$18/'Building &amp; Material inputs'!$C$19</f>
        <v>1.2569804287045667E-2</v>
      </c>
      <c r="AV95" s="189">
        <f>T95/'Building &amp; Material inputs'!$C$18/'Building &amp; Material inputs'!$C$19</f>
        <v>0.17363373718546135</v>
      </c>
      <c r="AW95" s="189">
        <f>U95/'Building &amp; Material inputs'!$C$18/'Building &amp; Material inputs'!$C$19</f>
        <v>3.6750698974836904E-7</v>
      </c>
      <c r="AX95" s="189">
        <f>V95/'Building &amp; Material inputs'!$C$18/'Building &amp; Material inputs'!$C$19</f>
        <v>3.1317986952469714E-5</v>
      </c>
      <c r="AY95" s="189">
        <f>W95/'Building &amp; Material inputs'!$C$18/'Building &amp; Material inputs'!$C$19</f>
        <v>3.7496365330848099E-6</v>
      </c>
      <c r="AZ95" s="189">
        <f>X95/'Building &amp; Material inputs'!$C$18/'Building &amp; Material inputs'!$C$19</f>
        <v>2.2263466915191057E-6</v>
      </c>
      <c r="BA95" s="189">
        <f>Y95/'Building &amp; Material inputs'!$C$18/'Building &amp; Material inputs'!$C$19</f>
        <v>2.0985181733457601E-9</v>
      </c>
      <c r="BB95" s="141">
        <f>Z95/'Building &amp; Material inputs'!$C$18/'Building &amp; Material inputs'!$C$19</f>
        <v>6.4553401677539619E-4</v>
      </c>
      <c r="BC95" s="141">
        <f>AA95/'Building &amp; Material inputs'!$C$18/'Building &amp; Material inputs'!$C$19</f>
        <v>9.2036533084808962E-3</v>
      </c>
      <c r="BD95" s="141">
        <f>AB95/'Building &amp; Material inputs'!$C$18/'Building &amp; Material inputs'!$C$19</f>
        <v>2.7696178937558252E-11</v>
      </c>
      <c r="BE95" s="141">
        <f>AC95/'Building &amp; Material inputs'!$C$18/'Building &amp; Material inputs'!$C$19</f>
        <v>1.0758900279589936E-6</v>
      </c>
      <c r="BF95" s="141">
        <f>AD95/'Building &amp; Material inputs'!$C$18/'Building &amp; Material inputs'!$C$19</f>
        <v>1.2676328052190125E-7</v>
      </c>
      <c r="BG95" s="141">
        <f>AE95/'Building &amp; Material inputs'!$C$18/'Building &amp; Material inputs'!$C$19</f>
        <v>5.3581453867660778E-8</v>
      </c>
      <c r="BH95" s="141">
        <f>AF95/'Building &amp; Material inputs'!$C$18/'Building &amp; Material inputs'!$C$19</f>
        <v>1.1930661696178938E-10</v>
      </c>
      <c r="BI95" s="188">
        <f>AG95/'Building &amp; Material inputs'!$C$18/'Building &amp; Material inputs'!$C$19</f>
        <v>1.1824137931034486E-3</v>
      </c>
      <c r="BJ95" s="188">
        <f>AH95/'Building &amp; Material inputs'!$C$18/'Building &amp; Material inputs'!$C$19</f>
        <v>8.5645107176141669E-3</v>
      </c>
      <c r="BK95" s="188">
        <f>AI95/'Building &amp; Material inputs'!$C$18/'Building &amp; Material inputs'!$C$19</f>
        <v>1.1078471575023303E-8</v>
      </c>
      <c r="BL95" s="188">
        <f>AJ95/'Building &amp; Material inputs'!$C$18/'Building &amp; Material inputs'!$C$19</f>
        <v>2.7696178937558254E-6</v>
      </c>
      <c r="BM95" s="188">
        <f>AK95/'Building &amp; Material inputs'!$C$18/'Building &amp; Material inputs'!$C$19</f>
        <v>4.0372506989748375E-7</v>
      </c>
      <c r="BN95" s="188">
        <f>AL95/'Building &amp; Material inputs'!$C$18/'Building &amp; Material inputs'!$C$19</f>
        <v>1.9280801491146321E-7</v>
      </c>
      <c r="BO95" s="188">
        <f>AM95/'Building &amp; Material inputs'!$C$18/'Building &amp; Material inputs'!$C$19</f>
        <v>8.84147250698975E-11</v>
      </c>
    </row>
    <row r="96" spans="2:67" x14ac:dyDescent="0.25">
      <c r="B96" s="334"/>
      <c r="C96" s="305"/>
      <c r="D96" s="302"/>
      <c r="E96" s="305"/>
      <c r="F96" s="9" t="s">
        <v>189</v>
      </c>
      <c r="G96" s="7" t="s">
        <v>66</v>
      </c>
      <c r="H96" s="7" t="str">
        <f>'Material quantities'!G96</f>
        <v>ADH</v>
      </c>
      <c r="I96" s="38">
        <f>'Material quantities'!O96</f>
        <v>82.296000000000006</v>
      </c>
      <c r="J96" s="42" t="s">
        <v>15</v>
      </c>
      <c r="K96" s="2"/>
      <c r="L96" s="144">
        <f>VLOOKUP($H96,'Material impact data'!$E$19:$AM$61,6,0)/VLOOKUP($H96,'Material impact data'!$E$19:$AM$61,4,0)*$I96</f>
        <v>49.377600000000001</v>
      </c>
      <c r="M96" s="138">
        <f>VLOOKUP($H96,'Material impact data'!$E$19:$AM$61,'Material impact data'!M$15,0)/VLOOKUP($H96,'Material impact data'!$E$19:$AM$61,4,0)*$I96</f>
        <v>160.47720000000001</v>
      </c>
      <c r="N96" s="138">
        <f>VLOOKUP($H96,'Material impact data'!$E$19:$AM$61,'Material impact data'!N$15,0)/VLOOKUP($H96,'Material impact data'!$E$19:$AM$61,4,0)*$I96</f>
        <v>604.87559999999996</v>
      </c>
      <c r="O96" s="180">
        <f>VLOOKUP($H96,'Material impact data'!$E$19:$AM$61,'Material impact data'!O$15,0)/VLOOKUP($H96,'Material impact data'!$E$19:$AM$61,4,0)*$I96</f>
        <v>0</v>
      </c>
      <c r="P96" s="180">
        <f>VLOOKUP($H96,'Material impact data'!$E$19:$AM$61,'Material impact data'!P$15,0)/VLOOKUP($H96,'Material impact data'!$E$19:$AM$61,4,0)*$I96</f>
        <v>111.09960000000001</v>
      </c>
      <c r="Q96" s="179">
        <f>VLOOKUP($H96,'Material impact data'!$E$19:$AM$61,'Material impact data'!Q$15,0)/VLOOKUP($H96,'Material impact data'!$E$19:$AM$61,4,0)*$I96</f>
        <v>0</v>
      </c>
      <c r="R96" s="179">
        <f>VLOOKUP($H96,'Material impact data'!$E$19:$AM$61,'Material impact data'!R$15,0)/VLOOKUP($H96,'Material impact data'!$E$19:$AM$61,4,0)*$I96</f>
        <v>4.4439840000000001E-2</v>
      </c>
      <c r="S96" s="138">
        <f>VLOOKUP($H96,'Material impact data'!$E$19:$AM$61,'Material impact data'!S$15,0)/VLOOKUP($H96,'Material impact data'!$E$19:$AM$61,4,0)*$I96</f>
        <v>42.300144000000003</v>
      </c>
      <c r="T96" s="138">
        <f>VLOOKUP($H96,'Material impact data'!$E$19:$AM$61,'Material impact data'!T$15,0)/VLOOKUP($H96,'Material impact data'!$E$19:$AM$61,4,0)*$I96</f>
        <v>553.02912000000003</v>
      </c>
      <c r="U96" s="138">
        <f>VLOOKUP($H96,'Material impact data'!$E$19:$AM$61,'Material impact data'!U$15,0)/VLOOKUP($H96,'Material impact data'!$E$19:$AM$61,4,0)*$I96</f>
        <v>4.7567088000000008E-5</v>
      </c>
      <c r="V96" s="138">
        <f>VLOOKUP($H96,'Material impact data'!$E$19:$AM$61,'Material impact data'!V$15,0)/VLOOKUP($H96,'Material impact data'!$E$19:$AM$61,4,0)*$I96</f>
        <v>0.1275588</v>
      </c>
      <c r="W96" s="138">
        <f>VLOOKUP($H96,'Material impact data'!$E$19:$AM$61,'Material impact data'!W$15,0)/VLOOKUP($H96,'Material impact data'!$E$19:$AM$61,4,0)*$I96</f>
        <v>3.9584376000000004E-2</v>
      </c>
      <c r="X96" s="138">
        <f>VLOOKUP($H96,'Material impact data'!$E$19:$AM$61,'Material impact data'!X$15,0)/VLOOKUP($H96,'Material impact data'!$E$19:$AM$61,4,0)*$I96</f>
        <v>6.8799456000000004E-3</v>
      </c>
      <c r="Y96" s="138">
        <f>VLOOKUP($H96,'Material impact data'!$E$19:$AM$61,'Material impact data'!Y$15,0)/VLOOKUP($H96,'Material impact data'!$E$19:$AM$61,4,0)*$I96</f>
        <v>2.6252424000000004E-6</v>
      </c>
      <c r="Z96" s="180">
        <f>VLOOKUP($H96,'Material impact data'!$E$19:$AM$61,'Material impact data'!Z$15,0)/VLOOKUP($H96,'Material impact data'!$E$19:$AM$61,4,0)*$I96</f>
        <v>2.0409408</v>
      </c>
      <c r="AA96" s="180">
        <f>VLOOKUP($H96,'Material impact data'!$E$19:$AM$61,'Material impact data'!AA$15,0)/VLOOKUP($H96,'Material impact data'!$E$19:$AM$61,4,0)*$I96</f>
        <v>226.05065280000002</v>
      </c>
      <c r="AB96" s="180">
        <f>VLOOKUP($H96,'Material impact data'!$E$19:$AM$61,'Material impact data'!AB$15,0)/VLOOKUP($H96,'Material impact data'!$E$19:$AM$61,4,0)*$I96</f>
        <v>7.6041504000000006E-3</v>
      </c>
      <c r="AC96" s="180">
        <f>VLOOKUP($H96,'Material impact data'!$E$19:$AM$61,'Material impact data'!AC$15,0)/VLOOKUP($H96,'Material impact data'!$E$19:$AM$61,4,0)*$I96</f>
        <v>0.13167360000000003</v>
      </c>
      <c r="AD96" s="180">
        <f>VLOOKUP($H96,'Material impact data'!$E$19:$AM$61,'Material impact data'!AD$15,0)/VLOOKUP($H96,'Material impact data'!$E$19:$AM$61,4,0)*$I96</f>
        <v>2.87706816E-2</v>
      </c>
      <c r="AE96" s="180">
        <f>VLOOKUP($H96,'Material impact data'!$E$19:$AM$61,'Material impact data'!AE$15,0)/VLOOKUP($H96,'Material impact data'!$E$19:$AM$61,4,0)*$I96</f>
        <v>7.6041504000000006E-3</v>
      </c>
      <c r="AF96" s="180">
        <f>VLOOKUP($H96,'Material impact data'!$E$19:$AM$61,'Material impact data'!AF$15,0)/VLOOKUP($H96,'Material impact data'!$E$19:$AM$61,4,0)*$I96</f>
        <v>2.6729740800000004E-3</v>
      </c>
      <c r="AG96" s="179">
        <f>VLOOKUP($H96,'Material impact data'!$E$19:$AM$61,'Material impact data'!AG$15,0)/VLOOKUP($H96,'Material impact data'!$E$19:$AM$61,4,0)*$I96</f>
        <v>2.4524208000000001E-4</v>
      </c>
      <c r="AH96" s="179">
        <f>VLOOKUP($H96,'Material impact data'!$E$19:$AM$61,'Material impact data'!AH$15,0)/VLOOKUP($H96,'Material impact data'!$E$19:$AM$61,4,0)*$I96</f>
        <v>3.4235136000000002E-3</v>
      </c>
      <c r="AI96" s="179">
        <f>VLOOKUP($H96,'Material impact data'!$E$19:$AM$61,'Material impact data'!AI$15,0)/VLOOKUP($H96,'Material impact data'!$E$19:$AM$61,4,0)*$I96</f>
        <v>9.0854784000000003E-9</v>
      </c>
      <c r="AJ96" s="179">
        <f>VLOOKUP($H96,'Material impact data'!$E$19:$AM$61,'Material impact data'!AJ$15,0)/VLOOKUP($H96,'Material impact data'!$E$19:$AM$61,4,0)*$I96</f>
        <v>1.07972352E-6</v>
      </c>
      <c r="AK96" s="179">
        <f>VLOOKUP($H96,'Material impact data'!$E$19:$AM$61,'Material impact data'!AK$15,0)/VLOOKUP($H96,'Material impact data'!$E$19:$AM$61,4,0)*$I96</f>
        <v>4.4110655999999997E-6</v>
      </c>
      <c r="AL96" s="179">
        <f>VLOOKUP($H96,'Material impact data'!$E$19:$AM$61,'Material impact data'!AL$15,0)/VLOOKUP($H96,'Material impact data'!$E$19:$AM$61,4,0)*$I96</f>
        <v>2.08373472E-7</v>
      </c>
      <c r="AM96" s="179">
        <f>VLOOKUP($H96,'Material impact data'!$E$19:$AM$61,'Material impact data'!AM$15,0)/VLOOKUP($H96,'Material impact data'!$E$19:$AM$61,4,0)*$I96</f>
        <v>1.6195852800000003E-11</v>
      </c>
      <c r="AO96" s="189">
        <f>M96/'Building &amp; Material inputs'!$C$18/'Building &amp; Material inputs'!$C$19</f>
        <v>1.2463280521901212E-2</v>
      </c>
      <c r="AP96" s="189">
        <f>N96/'Building &amp; Material inputs'!$C$18/'Building &amp; Material inputs'!$C$19</f>
        <v>4.6976980428704566E-2</v>
      </c>
      <c r="AQ96" s="141">
        <f>O96/'Building &amp; Material inputs'!$C$18/'Building &amp; Material inputs'!$C$19</f>
        <v>0</v>
      </c>
      <c r="AR96" s="141">
        <f>P96/'Building &amp; Material inputs'!$C$18/'Building &amp; Material inputs'!$C$19</f>
        <v>8.6284249767008409E-3</v>
      </c>
      <c r="AS96" s="188">
        <f>Q96/'Building &amp; Material inputs'!$C$18/'Building &amp; Material inputs'!$C$19</f>
        <v>0</v>
      </c>
      <c r="AT96" s="188">
        <f>R96/'Building &amp; Material inputs'!$C$18/'Building &amp; Material inputs'!$C$19</f>
        <v>3.4513699906803359E-6</v>
      </c>
      <c r="AU96" s="189">
        <f>S96/'Building &amp; Material inputs'!$C$18/'Building &amp; Material inputs'!$C$19</f>
        <v>3.2851929170549863E-3</v>
      </c>
      <c r="AV96" s="189">
        <f>T96/'Building &amp; Material inputs'!$C$18/'Building &amp; Material inputs'!$C$19</f>
        <v>4.2950382106244182E-2</v>
      </c>
      <c r="AW96" s="189">
        <f>U96/'Building &amp; Material inputs'!$C$18/'Building &amp; Material inputs'!$C$19</f>
        <v>3.6942441752096931E-9</v>
      </c>
      <c r="AX96" s="189">
        <f>V96/'Building &amp; Material inputs'!$C$18/'Building &amp; Material inputs'!$C$19</f>
        <v>9.9067101584342977E-6</v>
      </c>
      <c r="AY96" s="189">
        <f>W96/'Building &amp; Material inputs'!$C$18/'Building &amp; Material inputs'!$C$19</f>
        <v>3.0742758620689661E-6</v>
      </c>
      <c r="AZ96" s="189">
        <f>X96/'Building &amp; Material inputs'!$C$18/'Building &amp; Material inputs'!$C$19</f>
        <v>5.3432320596458536E-7</v>
      </c>
      <c r="BA96" s="189">
        <f>Y96/'Building &amp; Material inputs'!$C$18/'Building &amp; Material inputs'!$C$19</f>
        <v>2.0388648648648654E-10</v>
      </c>
      <c r="BB96" s="141">
        <f>Z96/'Building &amp; Material inputs'!$C$18/'Building &amp; Material inputs'!$C$19</f>
        <v>1.5850736253494876E-4</v>
      </c>
      <c r="BC96" s="141">
        <f>AA96/'Building &amp; Material inputs'!$C$18/'Building &amp; Material inputs'!$C$19</f>
        <v>1.755596868592731E-2</v>
      </c>
      <c r="BD96" s="141">
        <f>AB96/'Building &amp; Material inputs'!$C$18/'Building &amp; Material inputs'!$C$19</f>
        <v>5.9056775396085747E-7</v>
      </c>
      <c r="BE96" s="141">
        <f>AC96/'Building &amp; Material inputs'!$C$18/'Building &amp; Material inputs'!$C$19</f>
        <v>1.0226281453867665E-5</v>
      </c>
      <c r="BF96" s="141">
        <f>AD96/'Building &amp; Material inputs'!$C$18/'Building &amp; Material inputs'!$C$19</f>
        <v>2.234442497670084E-6</v>
      </c>
      <c r="BG96" s="141">
        <f>AE96/'Building &amp; Material inputs'!$C$18/'Building &amp; Material inputs'!$C$19</f>
        <v>5.9056775396085747E-7</v>
      </c>
      <c r="BH96" s="141">
        <f>AF96/'Building &amp; Material inputs'!$C$18/'Building &amp; Material inputs'!$C$19</f>
        <v>2.0759351351351357E-7</v>
      </c>
      <c r="BI96" s="188">
        <f>AG96/'Building &amp; Material inputs'!$C$18/'Building &amp; Material inputs'!$C$19</f>
        <v>1.9046449207828522E-8</v>
      </c>
      <c r="BJ96" s="188">
        <f>AH96/'Building &amp; Material inputs'!$C$18/'Building &amp; Material inputs'!$C$19</f>
        <v>2.6588331780055923E-7</v>
      </c>
      <c r="BK96" s="188">
        <f>AI96/'Building &amp; Material inputs'!$C$18/'Building &amp; Material inputs'!$C$19</f>
        <v>7.0561342031686871E-13</v>
      </c>
      <c r="BL96" s="188">
        <f>AJ96/'Building &amp; Material inputs'!$C$18/'Building &amp; Material inputs'!$C$19</f>
        <v>8.3855507921714826E-11</v>
      </c>
      <c r="BM96" s="188">
        <f>AK96/'Building &amp; Material inputs'!$C$18/'Building &amp; Material inputs'!$C$19</f>
        <v>3.4258042870456663E-10</v>
      </c>
      <c r="BN96" s="188">
        <f>AL96/'Building &amp; Material inputs'!$C$18/'Building &amp; Material inputs'!$C$19</f>
        <v>1.6183090400745574E-11</v>
      </c>
      <c r="BO96" s="188">
        <f>AM96/'Building &amp; Material inputs'!$C$18/'Building &amp; Material inputs'!$C$19</f>
        <v>1.2578326188257227E-15</v>
      </c>
    </row>
    <row r="97" spans="2:82" x14ac:dyDescent="0.25">
      <c r="B97" s="334"/>
      <c r="C97" s="305"/>
      <c r="D97" s="302"/>
      <c r="E97" s="305"/>
      <c r="F97" s="9" t="s">
        <v>190</v>
      </c>
      <c r="G97" s="7" t="s">
        <v>103</v>
      </c>
      <c r="H97" s="7" t="str">
        <f>'Material quantities'!G97</f>
        <v>MOR</v>
      </c>
      <c r="I97" s="38">
        <f>'Material quantities'!O97</f>
        <v>1235.52</v>
      </c>
      <c r="J97" s="42" t="s">
        <v>15</v>
      </c>
      <c r="K97" s="2"/>
      <c r="L97" s="144">
        <f>VLOOKUP($H97,'Material impact data'!$E$19:$AM$61,6,0)/VLOOKUP($H97,'Material impact data'!$E$19:$AM$61,4,0)*$I97</f>
        <v>308.88</v>
      </c>
      <c r="M97" s="138">
        <f>VLOOKUP($H97,'Material impact data'!$E$19:$AM$61,'Material impact data'!M$15,0)/VLOOKUP($H97,'Material impact data'!$E$19:$AM$61,4,0)*$I97</f>
        <v>469.49759999999998</v>
      </c>
      <c r="N97" s="138">
        <f>VLOOKUP($H97,'Material impact data'!$E$19:$AM$61,'Material impact data'!N$15,0)/VLOOKUP($H97,'Material impact data'!$E$19:$AM$61,4,0)*$I97</f>
        <v>6474.1248000000005</v>
      </c>
      <c r="O97" s="180">
        <f>VLOOKUP($H97,'Material impact data'!$E$19:$AM$61,'Material impact data'!O$15,0)/VLOOKUP($H97,'Material impact data'!$E$19:$AM$61,4,0)*$I97</f>
        <v>0</v>
      </c>
      <c r="P97" s="180">
        <f>VLOOKUP($H97,'Material impact data'!$E$19:$AM$61,'Material impact data'!P$15,0)/VLOOKUP($H97,'Material impact data'!$E$19:$AM$61,4,0)*$I97</f>
        <v>0</v>
      </c>
      <c r="Q97" s="179">
        <f>VLOOKUP($H97,'Material impact data'!$E$19:$AM$61,'Material impact data'!Q$15,0)/VLOOKUP($H97,'Material impact data'!$E$19:$AM$61,4,0)*$I97</f>
        <v>0</v>
      </c>
      <c r="R97" s="179">
        <f>VLOOKUP($H97,'Material impact data'!$E$19:$AM$61,'Material impact data'!R$15,0)/VLOOKUP($H97,'Material impact data'!$E$19:$AM$61,4,0)*$I97</f>
        <v>0</v>
      </c>
      <c r="S97" s="138">
        <f>VLOOKUP($H97,'Material impact data'!$E$19:$AM$61,'Material impact data'!S$15,0)/VLOOKUP($H97,'Material impact data'!$E$19:$AM$61,4,0)*$I97</f>
        <v>710.42399999999998</v>
      </c>
      <c r="T97" s="138">
        <f>VLOOKUP($H97,'Material impact data'!$E$19:$AM$61,'Material impact data'!T$15,0)/VLOOKUP($H97,'Material impact data'!$E$19:$AM$61,4,0)*$I97</f>
        <v>6461.7696000000005</v>
      </c>
      <c r="U97" s="138">
        <f>VLOOKUP($H97,'Material impact data'!$E$19:$AM$61,'Material impact data'!U$15,0)/VLOOKUP($H97,'Material impact data'!$E$19:$AM$61,4,0)*$I97</f>
        <v>1.0279526399999999E-2</v>
      </c>
      <c r="V97" s="138">
        <f>VLOOKUP($H97,'Material impact data'!$E$19:$AM$61,'Material impact data'!V$15,0)/VLOOKUP($H97,'Material impact data'!$E$19:$AM$61,4,0)*$I97</f>
        <v>2.6316576</v>
      </c>
      <c r="W97" s="138">
        <f>VLOOKUP($H97,'Material impact data'!$E$19:$AM$61,'Material impact data'!W$15,0)/VLOOKUP($H97,'Material impact data'!$E$19:$AM$61,4,0)*$I97</f>
        <v>0.1297296</v>
      </c>
      <c r="X97" s="138">
        <f>VLOOKUP($H97,'Material impact data'!$E$19:$AM$61,'Material impact data'!X$15,0)/VLOOKUP($H97,'Material impact data'!$E$19:$AM$61,4,0)*$I97</f>
        <v>1.9274111999999999</v>
      </c>
      <c r="Y97" s="138">
        <f>VLOOKUP($H97,'Material impact data'!$E$19:$AM$61,'Material impact data'!Y$15,0)/VLOOKUP($H97,'Material impact data'!$E$19:$AM$61,4,0)*$I97</f>
        <v>5.3745119999999996E-5</v>
      </c>
      <c r="Z97" s="180">
        <f>VLOOKUP($H97,'Material impact data'!$E$19:$AM$61,'Material impact data'!Z$15,0)/VLOOKUP($H97,'Material impact data'!$E$19:$AM$61,4,0)*$I97</f>
        <v>40.595480639999998</v>
      </c>
      <c r="AA97" s="180">
        <f>VLOOKUP($H97,'Material impact data'!$E$19:$AM$61,'Material impact data'!AA$15,0)/VLOOKUP($H97,'Material impact data'!$E$19:$AM$61,4,0)*$I97</f>
        <v>446.51692800000001</v>
      </c>
      <c r="AB97" s="180">
        <f>VLOOKUP($H97,'Material impact data'!$E$19:$AM$61,'Material impact data'!AB$15,0)/VLOOKUP($H97,'Material impact data'!$E$19:$AM$61,4,0)*$I97</f>
        <v>2.4339744000000003E-3</v>
      </c>
      <c r="AC97" s="180">
        <f>VLOOKUP($H97,'Material impact data'!$E$19:$AM$61,'Material impact data'!AC$15,0)/VLOOKUP($H97,'Material impact data'!$E$19:$AM$61,4,0)*$I97</f>
        <v>0.28240280639999998</v>
      </c>
      <c r="AD97" s="180">
        <f>VLOOKUP($H97,'Material impact data'!$E$19:$AM$61,'Material impact data'!AD$15,0)/VLOOKUP($H97,'Material impact data'!$E$19:$AM$61,4,0)*$I97</f>
        <v>5.547237696E-2</v>
      </c>
      <c r="AE97" s="180">
        <f>VLOOKUP($H97,'Material impact data'!$E$19:$AM$61,'Material impact data'!AE$15,0)/VLOOKUP($H97,'Material impact data'!$E$19:$AM$61,4,0)*$I97</f>
        <v>0.15128695296</v>
      </c>
      <c r="AF97" s="180">
        <f>VLOOKUP($H97,'Material impact data'!$E$19:$AM$61,'Material impact data'!AF$15,0)/VLOOKUP($H97,'Material impact data'!$E$19:$AM$61,4,0)*$I97</f>
        <v>5.0433926399999995E-2</v>
      </c>
      <c r="AG97" s="179">
        <f>VLOOKUP($H97,'Material impact data'!$E$19:$AM$61,'Material impact data'!AG$15,0)/VLOOKUP($H97,'Material impact data'!$E$19:$AM$61,4,0)*$I97</f>
        <v>3.6818495999999998E-3</v>
      </c>
      <c r="AH97" s="179">
        <f>VLOOKUP($H97,'Material impact data'!$E$19:$AM$61,'Material impact data'!AH$15,0)/VLOOKUP($H97,'Material impact data'!$E$19:$AM$61,4,0)*$I97</f>
        <v>5.0433926399999995E-2</v>
      </c>
      <c r="AI97" s="179">
        <f>VLOOKUP($H97,'Material impact data'!$E$19:$AM$61,'Material impact data'!AI$15,0)/VLOOKUP($H97,'Material impact data'!$E$19:$AM$61,4,0)*$I97</f>
        <v>1.3615430400000001E-7</v>
      </c>
      <c r="AJ97" s="179">
        <f>VLOOKUP($H97,'Material impact data'!$E$19:$AM$61,'Material impact data'!AJ$15,0)/VLOOKUP($H97,'Material impact data'!$E$19:$AM$61,4,0)*$I97</f>
        <v>1.6187783039999997E-2</v>
      </c>
      <c r="AK97" s="179">
        <f>VLOOKUP($H97,'Material impact data'!$E$19:$AM$61,'Material impact data'!AK$15,0)/VLOOKUP($H97,'Material impact data'!$E$19:$AM$61,4,0)*$I97</f>
        <v>6.6063254400000002E-5</v>
      </c>
      <c r="AL97" s="179">
        <f>VLOOKUP($H97,'Material impact data'!$E$19:$AM$61,'Material impact data'!AL$15,0)/VLOOKUP($H97,'Material impact data'!$E$19:$AM$61,4,0)*$I97</f>
        <v>3.1308076800000001E-6</v>
      </c>
      <c r="AM97" s="179">
        <f>VLOOKUP($H97,'Material impact data'!$E$19:$AM$61,'Material impact data'!AM$15,0)/VLOOKUP($H97,'Material impact data'!$E$19:$AM$61,4,0)*$I97</f>
        <v>2.4302678399999999E-10</v>
      </c>
      <c r="AO97" s="189">
        <f>M97/'Building &amp; Material inputs'!$C$18/'Building &amp; Material inputs'!$C$19</f>
        <v>3.6463000931966451E-2</v>
      </c>
      <c r="AP97" s="189">
        <f>N97/'Building &amp; Material inputs'!$C$18/'Building &amp; Material inputs'!$C$19</f>
        <v>0.50280559179869533</v>
      </c>
      <c r="AQ97" s="141">
        <f>O97/'Building &amp; Material inputs'!$C$18/'Building &amp; Material inputs'!$C$19</f>
        <v>0</v>
      </c>
      <c r="AR97" s="141">
        <f>P97/'Building &amp; Material inputs'!$C$18/'Building &amp; Material inputs'!$C$19</f>
        <v>0</v>
      </c>
      <c r="AS97" s="188">
        <f>Q97/'Building &amp; Material inputs'!$C$18/'Building &amp; Material inputs'!$C$19</f>
        <v>0</v>
      </c>
      <c r="AT97" s="188">
        <f>R97/'Building &amp; Material inputs'!$C$18/'Building &amp; Material inputs'!$C$19</f>
        <v>0</v>
      </c>
      <c r="AU97" s="189">
        <f>S97/'Building &amp; Material inputs'!$C$18/'Building &amp; Material inputs'!$C$19</f>
        <v>5.517427772600187E-2</v>
      </c>
      <c r="AV97" s="189">
        <f>T97/'Building &amp; Material inputs'!$C$18/'Building &amp; Material inputs'!$C$19</f>
        <v>0.50184603914259096</v>
      </c>
      <c r="AW97" s="189">
        <f>U97/'Building &amp; Material inputs'!$C$18/'Building &amp; Material inputs'!$C$19</f>
        <v>7.9834780987884437E-7</v>
      </c>
      <c r="AX97" s="189">
        <f>V97/'Building &amp; Material inputs'!$C$18/'Building &amp; Material inputs'!$C$19</f>
        <v>2.0438471575023301E-4</v>
      </c>
      <c r="AY97" s="189">
        <f>W97/'Building &amp; Material inputs'!$C$18/'Building &amp; Material inputs'!$C$19</f>
        <v>1.0075302889095994E-5</v>
      </c>
      <c r="AZ97" s="189">
        <f>X97/'Building &amp; Material inputs'!$C$18/'Building &amp; Material inputs'!$C$19</f>
        <v>1.496902143522833E-4</v>
      </c>
      <c r="BA97" s="189">
        <f>Y97/'Building &amp; Material inputs'!$C$18/'Building &amp; Material inputs'!$C$19</f>
        <v>4.1740540540540541E-9</v>
      </c>
      <c r="BB97" s="141">
        <f>Z97/'Building &amp; Material inputs'!$C$18/'Building &amp; Material inputs'!$C$19</f>
        <v>3.1528021621621623E-3</v>
      </c>
      <c r="BC97" s="141">
        <f>AA97/'Building &amp; Material inputs'!$C$18/'Building &amp; Material inputs'!$C$19</f>
        <v>3.4678232991612302E-2</v>
      </c>
      <c r="BD97" s="141">
        <f>AB97/'Building &amp; Material inputs'!$C$18/'Building &amp; Material inputs'!$C$19</f>
        <v>1.8903187325256295E-7</v>
      </c>
      <c r="BE97" s="141">
        <f>AC97/'Building &amp; Material inputs'!$C$18/'Building &amp; Material inputs'!$C$19</f>
        <v>2.1932495060577821E-5</v>
      </c>
      <c r="BF97" s="141">
        <f>AD97/'Building &amp; Material inputs'!$C$18/'Building &amp; Material inputs'!$C$19</f>
        <v>4.3081995153774469E-6</v>
      </c>
      <c r="BG97" s="141">
        <f>AE97/'Building &amp; Material inputs'!$C$18/'Building &amp; Material inputs'!$C$19</f>
        <v>1.1749530363466915E-5</v>
      </c>
      <c r="BH97" s="141">
        <f>AF97/'Building &amp; Material inputs'!$C$18/'Building &amp; Material inputs'!$C$19</f>
        <v>3.9168939422180796E-6</v>
      </c>
      <c r="BI97" s="188">
        <f>AG97/'Building &amp; Material inputs'!$C$18/'Building &amp; Material inputs'!$C$19</f>
        <v>2.8594669151910531E-7</v>
      </c>
      <c r="BJ97" s="188">
        <f>AH97/'Building &amp; Material inputs'!$C$18/'Building &amp; Material inputs'!$C$19</f>
        <v>3.9168939422180796E-6</v>
      </c>
      <c r="BK97" s="188">
        <f>AI97/'Building &amp; Material inputs'!$C$18/'Building &amp; Material inputs'!$C$19</f>
        <v>1.0574270270270273E-11</v>
      </c>
      <c r="BL97" s="188">
        <f>AJ97/'Building &amp; Material inputs'!$C$18/'Building &amp; Material inputs'!$C$19</f>
        <v>1.2572058900279586E-6</v>
      </c>
      <c r="BM97" s="188">
        <f>AK97/'Building &amp; Material inputs'!$C$18/'Building &amp; Material inputs'!$C$19</f>
        <v>5.1307280521901219E-9</v>
      </c>
      <c r="BN97" s="188">
        <f>AL97/'Building &amp; Material inputs'!$C$18/'Building &amp; Material inputs'!$C$19</f>
        <v>2.4315064305684998E-10</v>
      </c>
      <c r="BO97" s="188">
        <f>AM97/'Building &amp; Material inputs'!$C$18/'Building &amp; Material inputs'!$C$19</f>
        <v>1.8874400745573163E-14</v>
      </c>
    </row>
    <row r="98" spans="2:82" x14ac:dyDescent="0.25">
      <c r="B98" s="334"/>
      <c r="C98" s="305"/>
      <c r="D98" s="302"/>
      <c r="E98" s="305"/>
      <c r="F98" s="9" t="s">
        <v>191</v>
      </c>
      <c r="G98" s="7" t="s">
        <v>19</v>
      </c>
      <c r="H98" s="7" t="str">
        <f>'Material quantities'!G98</f>
        <v>CON3</v>
      </c>
      <c r="I98" s="38">
        <f>'Material quantities'!O98</f>
        <v>2.16</v>
      </c>
      <c r="J98" s="42" t="s">
        <v>14</v>
      </c>
      <c r="K98" s="2"/>
      <c r="L98" s="144">
        <f>VLOOKUP($H98,'Material impact data'!$E$19:$AM$61,6,0)/VLOOKUP($H98,'Material impact data'!$E$19:$AM$61,4,0)*$I98</f>
        <v>881.28000000000009</v>
      </c>
      <c r="M98" s="138">
        <f>VLOOKUP($H98,'Material impact data'!$E$19:$AM$61,'Material impact data'!M$15,0)/VLOOKUP($H98,'Material impact data'!$E$19:$AM$61,4,0)*$I98</f>
        <v>410.40000000000003</v>
      </c>
      <c r="N98" s="138">
        <f>VLOOKUP($H98,'Material impact data'!$E$19:$AM$61,'Material impact data'!N$15,0)/VLOOKUP($H98,'Material impact data'!$E$19:$AM$61,4,0)*$I98</f>
        <v>3024</v>
      </c>
      <c r="O98" s="180">
        <f>VLOOKUP($H98,'Material impact data'!$E$19:$AM$61,'Material impact data'!O$15,0)/VLOOKUP($H98,'Material impact data'!$E$19:$AM$61,4,0)*$I98</f>
        <v>7.3872</v>
      </c>
      <c r="P98" s="180">
        <f>VLOOKUP($H98,'Material impact data'!$E$19:$AM$61,'Material impact data'!P$15,0)/VLOOKUP($H98,'Material impact data'!$E$19:$AM$61,4,0)*$I98</f>
        <v>127.44000000000001</v>
      </c>
      <c r="Q98" s="179">
        <f>VLOOKUP($H98,'Material impact data'!$E$19:$AM$61,'Material impact data'!Q$15,0)/VLOOKUP($H98,'Material impact data'!$E$19:$AM$61,4,0)*$I98</f>
        <v>0</v>
      </c>
      <c r="R98" s="179">
        <f>VLOOKUP($H98,'Material impact data'!$E$19:$AM$61,'Material impact data'!R$15,0)/VLOOKUP($H98,'Material impact data'!$E$19:$AM$61,4,0)*$I98</f>
        <v>3.4992000000000005</v>
      </c>
      <c r="S98" s="138">
        <f>VLOOKUP($H98,'Material impact data'!$E$19:$AM$61,'Material impact data'!S$15,0)/VLOOKUP($H98,'Material impact data'!$E$19:$AM$61,4,0)*$I98</f>
        <v>609.12</v>
      </c>
      <c r="T98" s="138">
        <f>VLOOKUP($H98,'Material impact data'!$E$19:$AM$61,'Material impact data'!T$15,0)/VLOOKUP($H98,'Material impact data'!$E$19:$AM$61,4,0)*$I98</f>
        <v>2937.6000000000004</v>
      </c>
      <c r="U98" s="138">
        <f>VLOOKUP($H98,'Material impact data'!$E$19:$AM$61,'Material impact data'!U$15,0)/VLOOKUP($H98,'Material impact data'!$E$19:$AM$61,4,0)*$I98</f>
        <v>1.4904E-4</v>
      </c>
      <c r="V98" s="138">
        <f>VLOOKUP($H98,'Material impact data'!$E$19:$AM$61,'Material impact data'!V$15,0)/VLOOKUP($H98,'Material impact data'!$E$19:$AM$61,4,0)*$I98</f>
        <v>0.94176000000000004</v>
      </c>
      <c r="W98" s="138">
        <f>VLOOKUP($H98,'Material impact data'!$E$19:$AM$61,'Material impact data'!W$15,0)/VLOOKUP($H98,'Material impact data'!$E$19:$AM$61,4,0)*$I98</f>
        <v>0.30240000000000006</v>
      </c>
      <c r="X98" s="138">
        <f>VLOOKUP($H98,'Material impact data'!$E$19:$AM$61,'Material impact data'!X$15,0)/VLOOKUP($H98,'Material impact data'!$E$19:$AM$61,4,0)*$I98</f>
        <v>3.4344000000000006E-2</v>
      </c>
      <c r="Y98" s="138">
        <f>VLOOKUP($H98,'Material impact data'!$E$19:$AM$61,'Material impact data'!Y$15,0)/VLOOKUP($H98,'Material impact data'!$E$19:$AM$61,4,0)*$I98</f>
        <v>7.2360000000000007E-6</v>
      </c>
      <c r="Z98" s="180">
        <f>VLOOKUP($H98,'Material impact data'!$E$19:$AM$61,'Material impact data'!Z$15,0)/VLOOKUP($H98,'Material impact data'!$E$19:$AM$61,4,0)*$I98</f>
        <v>9.3743999999999996</v>
      </c>
      <c r="AA98" s="180">
        <f>VLOOKUP($H98,'Material impact data'!$E$19:$AM$61,'Material impact data'!AA$15,0)/VLOOKUP($H98,'Material impact data'!$E$19:$AM$61,4,0)*$I98</f>
        <v>127.008</v>
      </c>
      <c r="AB98" s="180">
        <f>VLOOKUP($H98,'Material impact data'!$E$19:$AM$61,'Material impact data'!AB$15,0)/VLOOKUP($H98,'Material impact data'!$E$19:$AM$61,4,0)*$I98</f>
        <v>6.6528000000000009E-7</v>
      </c>
      <c r="AC98" s="180">
        <f>VLOOKUP($H98,'Material impact data'!$E$19:$AM$61,'Material impact data'!AC$15,0)/VLOOKUP($H98,'Material impact data'!$E$19:$AM$61,4,0)*$I98</f>
        <v>2.1816000000000002E-2</v>
      </c>
      <c r="AD98" s="180">
        <f>VLOOKUP($H98,'Material impact data'!$E$19:$AM$61,'Material impact data'!AD$15,0)/VLOOKUP($H98,'Material impact data'!$E$19:$AM$61,4,0)*$I98</f>
        <v>5.2488E-2</v>
      </c>
      <c r="AE98" s="180">
        <f>VLOOKUP($H98,'Material impact data'!$E$19:$AM$61,'Material impact data'!AE$15,0)/VLOOKUP($H98,'Material impact data'!$E$19:$AM$61,4,0)*$I98</f>
        <v>-7.2792000000000009E-2</v>
      </c>
      <c r="AF98" s="180">
        <f>VLOOKUP($H98,'Material impact data'!$E$19:$AM$61,'Material impact data'!AF$15,0)/VLOOKUP($H98,'Material impact data'!$E$19:$AM$61,4,0)*$I98</f>
        <v>1.54656E-15</v>
      </c>
      <c r="AG98" s="179">
        <f>VLOOKUP($H98,'Material impact data'!$E$19:$AM$61,'Material impact data'!AG$15,0)/VLOOKUP($H98,'Material impact data'!$E$19:$AM$61,4,0)*$I98</f>
        <v>0.50760000000000005</v>
      </c>
      <c r="AH98" s="179">
        <f>VLOOKUP($H98,'Material impact data'!$E$19:$AM$61,'Material impact data'!AH$15,0)/VLOOKUP($H98,'Material impact data'!$E$19:$AM$61,4,0)*$I98</f>
        <v>7.1042400000000008</v>
      </c>
      <c r="AI98" s="179">
        <f>VLOOKUP($H98,'Material impact data'!$E$19:$AM$61,'Material impact data'!AI$15,0)/VLOOKUP($H98,'Material impact data'!$E$19:$AM$61,4,0)*$I98</f>
        <v>1.8770400000000002E-5</v>
      </c>
      <c r="AJ98" s="179">
        <f>VLOOKUP($H98,'Material impact data'!$E$19:$AM$61,'Material impact data'!AJ$15,0)/VLOOKUP($H98,'Material impact data'!$E$19:$AM$61,4,0)*$I98</f>
        <v>2.1600000000000001E-2</v>
      </c>
      <c r="AK98" s="179">
        <f>VLOOKUP($H98,'Material impact data'!$E$19:$AM$61,'Material impact data'!AK$15,0)/VLOOKUP($H98,'Material impact data'!$E$19:$AM$61,4,0)*$I98</f>
        <v>8.6400000000000005E-2</v>
      </c>
      <c r="AL98" s="179">
        <f>VLOOKUP($H98,'Material impact data'!$E$19:$AM$61,'Material impact data'!AL$15,0)/VLOOKUP($H98,'Material impact data'!$E$19:$AM$61,4,0)*$I98</f>
        <v>4.3200000000000004E-4</v>
      </c>
      <c r="AM98" s="179">
        <f>VLOOKUP($H98,'Material impact data'!$E$19:$AM$61,'Material impact data'!AM$15,0)/VLOOKUP($H98,'Material impact data'!$E$19:$AM$61,4,0)*$I98</f>
        <v>3.3479999999999999E-8</v>
      </c>
      <c r="AO98" s="189">
        <f>M98/'Building &amp; Material inputs'!$C$18/'Building &amp; Material inputs'!$C$19</f>
        <v>3.1873252562907739E-2</v>
      </c>
      <c r="AP98" s="189">
        <f>N98/'Building &amp; Material inputs'!$C$18/'Building &amp; Material inputs'!$C$19</f>
        <v>0.2348555452003728</v>
      </c>
      <c r="AQ98" s="141">
        <f>O98/'Building &amp; Material inputs'!$C$18/'Building &amp; Material inputs'!$C$19</f>
        <v>5.737185461323393E-4</v>
      </c>
      <c r="AR98" s="141">
        <f>P98/'Building &amp; Material inputs'!$C$18/'Building &amp; Material inputs'!$C$19</f>
        <v>9.8974836905871399E-3</v>
      </c>
      <c r="AS98" s="188">
        <f>Q98/'Building &amp; Material inputs'!$C$18/'Building &amp; Material inputs'!$C$19</f>
        <v>0</v>
      </c>
      <c r="AT98" s="188">
        <f>R98/'Building &amp; Material inputs'!$C$18/'Building &amp; Material inputs'!$C$19</f>
        <v>2.7176141658900285E-4</v>
      </c>
      <c r="AU98" s="189">
        <f>S98/'Building &amp; Material inputs'!$C$18/'Building &amp; Material inputs'!$C$19</f>
        <v>4.730661696178938E-2</v>
      </c>
      <c r="AV98" s="189">
        <f>T98/'Building &amp; Material inputs'!$C$18/'Building &amp; Material inputs'!$C$19</f>
        <v>0.22814538676607646</v>
      </c>
      <c r="AW98" s="189">
        <f>U98/'Building &amp; Material inputs'!$C$18/'Building &amp; Material inputs'!$C$19</f>
        <v>1.1575023299161231E-8</v>
      </c>
      <c r="AX98" s="189">
        <f>V98/'Building &amp; Material inputs'!$C$18/'Building &amp; Material inputs'!$C$19</f>
        <v>7.3140726933830386E-5</v>
      </c>
      <c r="AY98" s="189">
        <f>W98/'Building &amp; Material inputs'!$C$18/'Building &amp; Material inputs'!$C$19</f>
        <v>2.3485554520037282E-5</v>
      </c>
      <c r="AZ98" s="189">
        <f>X98/'Building &amp; Material inputs'!$C$18/'Building &amp; Material inputs'!$C$19</f>
        <v>2.6672879776328062E-6</v>
      </c>
      <c r="BA98" s="189">
        <f>Y98/'Building &amp; Material inputs'!$C$18/'Building &amp; Material inputs'!$C$19</f>
        <v>5.6197576887232063E-10</v>
      </c>
      <c r="BB98" s="141">
        <f>Z98/'Building &amp; Material inputs'!$C$18/'Building &amp; Material inputs'!$C$19</f>
        <v>7.2805219012115566E-4</v>
      </c>
      <c r="BC98" s="141">
        <f>AA98/'Building &amp; Material inputs'!$C$18/'Building &amp; Material inputs'!$C$19</f>
        <v>9.8639328984156567E-3</v>
      </c>
      <c r="BD98" s="141">
        <f>AB98/'Building &amp; Material inputs'!$C$18/'Building &amp; Material inputs'!$C$19</f>
        <v>5.1668219944082023E-11</v>
      </c>
      <c r="BE98" s="141">
        <f>AC98/'Building &amp; Material inputs'!$C$18/'Building &amp; Material inputs'!$C$19</f>
        <v>1.6943150046598323E-6</v>
      </c>
      <c r="BF98" s="141">
        <f>AD98/'Building &amp; Material inputs'!$C$18/'Building &amp; Material inputs'!$C$19</f>
        <v>4.076421248835042E-6</v>
      </c>
      <c r="BG98" s="141">
        <f>AE98/'Building &amp; Material inputs'!$C$18/'Building &amp; Material inputs'!$C$19</f>
        <v>-5.6533084808946896E-6</v>
      </c>
      <c r="BH98" s="141">
        <f>AF98/'Building &amp; Material inputs'!$C$18/'Building &amp; Material inputs'!$C$19</f>
        <v>1.2011183597390497E-19</v>
      </c>
      <c r="BI98" s="188">
        <f>AG98/'Building &amp; Material inputs'!$C$18/'Building &amp; Material inputs'!$C$19</f>
        <v>3.9422180801491159E-5</v>
      </c>
      <c r="BJ98" s="188">
        <f>AH98/'Building &amp; Material inputs'!$C$18/'Building &amp; Material inputs'!$C$19</f>
        <v>5.5174277726001875E-4</v>
      </c>
      <c r="BK98" s="188">
        <f>AI98/'Building &amp; Material inputs'!$C$18/'Building &amp; Material inputs'!$C$19</f>
        <v>1.4577819198508858E-9</v>
      </c>
      <c r="BL98" s="188">
        <f>AJ98/'Building &amp; Material inputs'!$C$18/'Building &amp; Material inputs'!$C$19</f>
        <v>1.6775396085740915E-6</v>
      </c>
      <c r="BM98" s="188">
        <f>AK98/'Building &amp; Material inputs'!$C$18/'Building &amp; Material inputs'!$C$19</f>
        <v>6.7101584342963662E-6</v>
      </c>
      <c r="BN98" s="188">
        <f>AL98/'Building &amp; Material inputs'!$C$18/'Building &amp; Material inputs'!$C$19</f>
        <v>3.3550792171481834E-8</v>
      </c>
      <c r="BO98" s="188">
        <f>AM98/'Building &amp; Material inputs'!$C$18/'Building &amp; Material inputs'!$C$19</f>
        <v>2.6001863932898414E-12</v>
      </c>
    </row>
    <row r="99" spans="2:82" x14ac:dyDescent="0.25">
      <c r="B99" s="334"/>
      <c r="C99" s="305"/>
      <c r="D99" s="302"/>
      <c r="E99" s="305"/>
      <c r="F99" s="9" t="s">
        <v>192</v>
      </c>
      <c r="G99" s="7" t="s">
        <v>20</v>
      </c>
      <c r="H99" s="7" t="str">
        <f>'Material quantities'!G99</f>
        <v>REB</v>
      </c>
      <c r="I99" s="38">
        <f>'Material quantities'!O99</f>
        <v>297.21600000000001</v>
      </c>
      <c r="J99" s="42" t="s">
        <v>15</v>
      </c>
      <c r="K99" s="2"/>
      <c r="L99" s="144">
        <f>VLOOKUP($H99,'Material impact data'!$E$19:$AM$61,6,0)/VLOOKUP($H99,'Material impact data'!$E$19:$AM$61,4,0)*$I99</f>
        <v>534.98880000000008</v>
      </c>
      <c r="M99" s="138">
        <f>VLOOKUP($H99,'Material impact data'!$E$19:$AM$61,'Material impact data'!M$15,0)/VLOOKUP($H99,'Material impact data'!$E$19:$AM$61,4,0)*$I99</f>
        <v>470.79014400000005</v>
      </c>
      <c r="N99" s="138">
        <f>VLOOKUP($H99,'Material impact data'!$E$19:$AM$61,'Material impact data'!N$15,0)/VLOOKUP($H99,'Material impact data'!$E$19:$AM$61,4,0)*$I99</f>
        <v>2138.4691200000002</v>
      </c>
      <c r="O99" s="180">
        <f>VLOOKUP($H99,'Material impact data'!$E$19:$AM$61,'Material impact data'!O$15,0)/VLOOKUP($H99,'Material impact data'!$E$19:$AM$61,4,0)*$I99</f>
        <v>3.566592</v>
      </c>
      <c r="P99" s="180">
        <f>VLOOKUP($H99,'Material impact data'!$E$19:$AM$61,'Material impact data'!P$15,0)/VLOOKUP($H99,'Material impact data'!$E$19:$AM$61,4,0)*$I99</f>
        <v>194.97369600000002</v>
      </c>
      <c r="Q99" s="179">
        <f>VLOOKUP($H99,'Material impact data'!$E$19:$AM$61,'Material impact data'!Q$15,0)/VLOOKUP($H99,'Material impact data'!$E$19:$AM$61,4,0)*$I99</f>
        <v>0</v>
      </c>
      <c r="R99" s="179">
        <f>VLOOKUP($H99,'Material impact data'!$E$19:$AM$61,'Material impact data'!R$15,0)/VLOOKUP($H99,'Material impact data'!$E$19:$AM$61,4,0)*$I99</f>
        <v>8.9164799999999992E-3</v>
      </c>
      <c r="S99" s="138">
        <f>VLOOKUP($H99,'Material impact data'!$E$19:$AM$61,'Material impact data'!S$15,0)/VLOOKUP($H99,'Material impact data'!$E$19:$AM$61,4,0)*$I99</f>
        <v>156.63283200000001</v>
      </c>
      <c r="T99" s="138">
        <f>VLOOKUP($H99,'Material impact data'!$E$19:$AM$61,'Material impact data'!T$15,0)/VLOOKUP($H99,'Material impact data'!$E$19:$AM$61,4,0)*$I99</f>
        <v>1939.3344000000002</v>
      </c>
      <c r="U99" s="138">
        <f>VLOOKUP($H99,'Material impact data'!$E$19:$AM$61,'Material impact data'!U$15,0)/VLOOKUP($H99,'Material impact data'!$E$19:$AM$61,4,0)*$I99</f>
        <v>3.0295226879999999E-4</v>
      </c>
      <c r="V99" s="138">
        <f>VLOOKUP($H99,'Material impact data'!$E$19:$AM$61,'Material impact data'!V$15,0)/VLOOKUP($H99,'Material impact data'!$E$19:$AM$61,4,0)*$I99</f>
        <v>0.59443200000000007</v>
      </c>
      <c r="W99" s="138">
        <f>VLOOKUP($H99,'Material impact data'!$E$19:$AM$61,'Material impact data'!W$15,0)/VLOOKUP($H99,'Material impact data'!$E$19:$AM$61,4,0)*$I99</f>
        <v>0.25322803199999999</v>
      </c>
      <c r="X99" s="138">
        <f>VLOOKUP($H99,'Material impact data'!$E$19:$AM$61,'Material impact data'!X$15,0)/VLOOKUP($H99,'Material impact data'!$E$19:$AM$61,4,0)*$I99</f>
        <v>5.5876608000000001E-2</v>
      </c>
      <c r="Y99" s="138">
        <f>VLOOKUP($H99,'Material impact data'!$E$19:$AM$61,'Material impact data'!Y$15,0)/VLOOKUP($H99,'Material impact data'!$E$19:$AM$61,4,0)*$I99</f>
        <v>1.6021131264E-5</v>
      </c>
      <c r="Z99" s="180">
        <f>VLOOKUP($H99,'Material impact data'!$E$19:$AM$61,'Material impact data'!Z$15,0)/VLOOKUP($H99,'Material impact data'!$E$19:$AM$61,4,0)*$I99</f>
        <v>12.185856000000001</v>
      </c>
      <c r="AA99" s="180">
        <f>VLOOKUP($H99,'Material impact data'!$E$19:$AM$61,'Material impact data'!AA$15,0)/VLOOKUP($H99,'Material impact data'!$E$19:$AM$61,4,0)*$I99</f>
        <v>188.73216000000002</v>
      </c>
      <c r="AB99" s="180">
        <f>VLOOKUP($H99,'Material impact data'!$E$19:$AM$61,'Material impact data'!AB$15,0)/VLOOKUP($H99,'Material impact data'!$E$19:$AM$61,4,0)*$I99</f>
        <v>2.1221222400000003E-5</v>
      </c>
      <c r="AC99" s="180">
        <f>VLOOKUP($H99,'Material impact data'!$E$19:$AM$61,'Material impact data'!AC$15,0)/VLOOKUP($H99,'Material impact data'!$E$19:$AM$61,4,0)*$I99</f>
        <v>7.1331839999999994E-2</v>
      </c>
      <c r="AD99" s="180">
        <f>VLOOKUP($H99,'Material impact data'!$E$19:$AM$61,'Material impact data'!AD$15,0)/VLOOKUP($H99,'Material impact data'!$E$19:$AM$61,4,0)*$I99</f>
        <v>1.2483072000000001E-2</v>
      </c>
      <c r="AE99" s="180">
        <f>VLOOKUP($H99,'Material impact data'!$E$19:$AM$61,'Material impact data'!AE$15,0)/VLOOKUP($H99,'Material impact data'!$E$19:$AM$61,4,0)*$I99</f>
        <v>2.6749439999999998E-3</v>
      </c>
      <c r="AF99" s="180">
        <f>VLOOKUP($H99,'Material impact data'!$E$19:$AM$61,'Material impact data'!AF$15,0)/VLOOKUP($H99,'Material impact data'!$E$19:$AM$61,4,0)*$I99</f>
        <v>2.3361177599999996E-6</v>
      </c>
      <c r="AG99" s="179">
        <f>VLOOKUP($H99,'Material impact data'!$E$19:$AM$61,'Material impact data'!AG$15,0)/VLOOKUP($H99,'Material impact data'!$E$19:$AM$61,4,0)*$I99</f>
        <v>2.4936422400000001E-5</v>
      </c>
      <c r="AH99" s="179">
        <f>VLOOKUP($H99,'Material impact data'!$E$19:$AM$61,'Material impact data'!AH$15,0)/VLOOKUP($H99,'Material impact data'!$E$19:$AM$61,4,0)*$I99</f>
        <v>2.9721599999999999E-4</v>
      </c>
      <c r="AI99" s="179">
        <f>VLOOKUP($H99,'Material impact data'!$E$19:$AM$61,'Material impact data'!AI$15,0)/VLOOKUP($H99,'Material impact data'!$E$19:$AM$61,4,0)*$I99</f>
        <v>9.2136960000000007E-10</v>
      </c>
      <c r="AJ99" s="179">
        <f>VLOOKUP($H99,'Material impact data'!$E$19:$AM$61,'Material impact data'!AJ$15,0)/VLOOKUP($H99,'Material impact data'!$E$19:$AM$61,4,0)*$I99</f>
        <v>1.0967270399999999E-7</v>
      </c>
      <c r="AK99" s="179">
        <f>VLOOKUP($H99,'Material impact data'!$E$19:$AM$61,'Material impact data'!AK$15,0)/VLOOKUP($H99,'Material impact data'!$E$19:$AM$61,4,0)*$I99</f>
        <v>4.4879615999999999E-7</v>
      </c>
      <c r="AL99" s="179">
        <f>VLOOKUP($H99,'Material impact data'!$E$19:$AM$61,'Material impact data'!AL$15,0)/VLOOKUP($H99,'Material impact data'!$E$19:$AM$61,4,0)*$I99</f>
        <v>2.1191500800000002E-8</v>
      </c>
      <c r="AM99" s="179">
        <f>VLOOKUP($H99,'Material impact data'!$E$19:$AM$61,'Material impact data'!AM$15,0)/VLOOKUP($H99,'Material impact data'!$E$19:$AM$61,4,0)*$I99</f>
        <v>1.6436044800000002E-12</v>
      </c>
      <c r="AO99" s="189">
        <f>M99/'Building &amp; Material inputs'!$C$18/'Building &amp; Material inputs'!$C$19</f>
        <v>3.6563384902143531E-2</v>
      </c>
      <c r="AP99" s="189">
        <f>N99/'Building &amp; Material inputs'!$C$18/'Building &amp; Material inputs'!$C$19</f>
        <v>0.16608178937558249</v>
      </c>
      <c r="AQ99" s="141">
        <f>O99/'Building &amp; Material inputs'!$C$18/'Building &amp; Material inputs'!$C$19</f>
        <v>2.7699534016775398E-4</v>
      </c>
      <c r="AR99" s="141">
        <f>P99/'Building &amp; Material inputs'!$C$18/'Building &amp; Material inputs'!$C$19</f>
        <v>1.5142411929170551E-2</v>
      </c>
      <c r="AS99" s="188">
        <f>Q99/'Building &amp; Material inputs'!$C$18/'Building &amp; Material inputs'!$C$19</f>
        <v>0</v>
      </c>
      <c r="AT99" s="188">
        <f>R99/'Building &amp; Material inputs'!$C$18/'Building &amp; Material inputs'!$C$19</f>
        <v>6.9248835041938499E-7</v>
      </c>
      <c r="AU99" s="189">
        <f>S99/'Building &amp; Material inputs'!$C$18/'Building &amp; Material inputs'!$C$19</f>
        <v>1.2164712022367196E-2</v>
      </c>
      <c r="AV99" s="189">
        <f>T99/'Building &amp; Material inputs'!$C$18/'Building &amp; Material inputs'!$C$19</f>
        <v>0.15061621621621624</v>
      </c>
      <c r="AW99" s="189">
        <f>U99/'Building &amp; Material inputs'!$C$18/'Building &amp; Material inputs'!$C$19</f>
        <v>2.3528445852749305E-8</v>
      </c>
      <c r="AX99" s="189">
        <f>V99/'Building &amp; Material inputs'!$C$18/'Building &amp; Material inputs'!$C$19</f>
        <v>4.6165890027959003E-5</v>
      </c>
      <c r="AY99" s="189">
        <f>W99/'Building &amp; Material inputs'!$C$18/'Building &amp; Material inputs'!$C$19</f>
        <v>1.9666669151910532E-5</v>
      </c>
      <c r="AZ99" s="189">
        <f>X99/'Building &amp; Material inputs'!$C$18/'Building &amp; Material inputs'!$C$19</f>
        <v>4.3395936626281461E-6</v>
      </c>
      <c r="BA99" s="189">
        <f>Y99/'Building &amp; Material inputs'!$C$18/'Building &amp; Material inputs'!$C$19</f>
        <v>1.2442630680335508E-9</v>
      </c>
      <c r="BB99" s="141">
        <f>Z99/'Building &amp; Material inputs'!$C$18/'Building &amp; Material inputs'!$C$19</f>
        <v>9.4640074557315944E-4</v>
      </c>
      <c r="BC99" s="141">
        <f>AA99/'Building &amp; Material inputs'!$C$18/'Building &amp; Material inputs'!$C$19</f>
        <v>1.4657670083876983E-2</v>
      </c>
      <c r="BD99" s="141">
        <f>AB99/'Building &amp; Material inputs'!$C$18/'Building &amp; Material inputs'!$C$19</f>
        <v>1.6481222739981364E-9</v>
      </c>
      <c r="BE99" s="141">
        <f>AC99/'Building &amp; Material inputs'!$C$18/'Building &amp; Material inputs'!$C$19</f>
        <v>5.5399068033550799E-6</v>
      </c>
      <c r="BF99" s="141">
        <f>AD99/'Building &amp; Material inputs'!$C$18/'Building &amp; Material inputs'!$C$19</f>
        <v>9.6948369058713901E-7</v>
      </c>
      <c r="BG99" s="141">
        <f>AE99/'Building &amp; Material inputs'!$C$18/'Building &amp; Material inputs'!$C$19</f>
        <v>2.0774650512581546E-7</v>
      </c>
      <c r="BH99" s="141">
        <f>AF99/'Building &amp; Material inputs'!$C$18/'Building &amp; Material inputs'!$C$19</f>
        <v>1.8143194780987884E-10</v>
      </c>
      <c r="BI99" s="188">
        <f>AG99/'Building &amp; Material inputs'!$C$18/'Building &amp; Material inputs'!$C$19</f>
        <v>1.9366590866728799E-9</v>
      </c>
      <c r="BJ99" s="188">
        <f>AH99/'Building &amp; Material inputs'!$C$18/'Building &amp; Material inputs'!$C$19</f>
        <v>2.3082945013979499E-8</v>
      </c>
      <c r="BK99" s="188">
        <f>AI99/'Building &amp; Material inputs'!$C$18/'Building &amp; Material inputs'!$C$19</f>
        <v>7.1557129543336449E-14</v>
      </c>
      <c r="BL99" s="188">
        <f>AJ99/'Building &amp; Material inputs'!$C$18/'Building &amp; Material inputs'!$C$19</f>
        <v>8.5176067101584337E-12</v>
      </c>
      <c r="BM99" s="188">
        <f>AK99/'Building &amp; Material inputs'!$C$18/'Building &amp; Material inputs'!$C$19</f>
        <v>3.4855246971109043E-11</v>
      </c>
      <c r="BN99" s="188">
        <f>AL99/'Building &amp; Material inputs'!$C$18/'Building &amp; Material inputs'!$C$19</f>
        <v>1.6458139794967385E-12</v>
      </c>
      <c r="BO99" s="188">
        <f>AM99/'Building &amp; Material inputs'!$C$18/'Building &amp; Material inputs'!$C$19</f>
        <v>1.2764868592730664E-16</v>
      </c>
    </row>
    <row r="100" spans="2:82" x14ac:dyDescent="0.25">
      <c r="B100" s="334"/>
      <c r="C100" s="305"/>
      <c r="D100" s="302"/>
      <c r="E100" s="305"/>
      <c r="F100" s="9" t="s">
        <v>193</v>
      </c>
      <c r="G100" s="7" t="s">
        <v>21</v>
      </c>
      <c r="H100" s="7" t="str">
        <f>'Material quantities'!G100</f>
        <v>ST</v>
      </c>
      <c r="I100" s="38">
        <f>'Material quantities'!O100</f>
        <v>0</v>
      </c>
      <c r="J100" s="42" t="s">
        <v>15</v>
      </c>
      <c r="K100" s="2"/>
      <c r="L100" s="144">
        <f>VLOOKUP($H100,'Material impact data'!$E$19:$AM$61,6,0)/VLOOKUP($H100,'Material impact data'!$E$19:$AM$61,4,0)*$I100</f>
        <v>0</v>
      </c>
      <c r="M100" s="138">
        <f>VLOOKUP($H100,'Material impact data'!$E$19:$AM$61,'Material impact data'!M$15,0)/VLOOKUP($H100,'Material impact data'!$E$19:$AM$61,4,0)*$I100</f>
        <v>0</v>
      </c>
      <c r="N100" s="138">
        <f>VLOOKUP($H100,'Material impact data'!$E$19:$AM$61,'Material impact data'!N$15,0)/VLOOKUP($H100,'Material impact data'!$E$19:$AM$61,4,0)*$I100</f>
        <v>0</v>
      </c>
      <c r="O100" s="180">
        <f>VLOOKUP($H100,'Material impact data'!$E$19:$AM$61,'Material impact data'!O$15,0)/VLOOKUP($H100,'Material impact data'!$E$19:$AM$61,4,0)*$I100</f>
        <v>0</v>
      </c>
      <c r="P100" s="180">
        <f>VLOOKUP($H100,'Material impact data'!$E$19:$AM$61,'Material impact data'!P$15,0)/VLOOKUP($H100,'Material impact data'!$E$19:$AM$61,4,0)*$I100</f>
        <v>0</v>
      </c>
      <c r="Q100" s="179">
        <f>VLOOKUP($H100,'Material impact data'!$E$19:$AM$61,'Material impact data'!Q$15,0)/VLOOKUP($H100,'Material impact data'!$E$19:$AM$61,4,0)*$I100</f>
        <v>0</v>
      </c>
      <c r="R100" s="179">
        <f>VLOOKUP($H100,'Material impact data'!$E$19:$AM$61,'Material impact data'!R$15,0)/VLOOKUP($H100,'Material impact data'!$E$19:$AM$61,4,0)*$I100</f>
        <v>0</v>
      </c>
      <c r="S100" s="138">
        <f>VLOOKUP($H100,'Material impact data'!$E$19:$AM$61,'Material impact data'!S$15,0)/VLOOKUP($H100,'Material impact data'!$E$19:$AM$61,4,0)*$I100</f>
        <v>0</v>
      </c>
      <c r="T100" s="138">
        <f>VLOOKUP($H100,'Material impact data'!$E$19:$AM$61,'Material impact data'!T$15,0)/VLOOKUP($H100,'Material impact data'!$E$19:$AM$61,4,0)*$I100</f>
        <v>0</v>
      </c>
      <c r="U100" s="138">
        <f>VLOOKUP($H100,'Material impact data'!$E$19:$AM$61,'Material impact data'!U$15,0)/VLOOKUP($H100,'Material impact data'!$E$19:$AM$61,4,0)*$I100</f>
        <v>0</v>
      </c>
      <c r="V100" s="138">
        <f>VLOOKUP($H100,'Material impact data'!$E$19:$AM$61,'Material impact data'!V$15,0)/VLOOKUP($H100,'Material impact data'!$E$19:$AM$61,4,0)*$I100</f>
        <v>0</v>
      </c>
      <c r="W100" s="138">
        <f>VLOOKUP($H100,'Material impact data'!$E$19:$AM$61,'Material impact data'!W$15,0)/VLOOKUP($H100,'Material impact data'!$E$19:$AM$61,4,0)*$I100</f>
        <v>0</v>
      </c>
      <c r="X100" s="138">
        <f>VLOOKUP($H100,'Material impact data'!$E$19:$AM$61,'Material impact data'!X$15,0)/VLOOKUP($H100,'Material impact data'!$E$19:$AM$61,4,0)*$I100</f>
        <v>0</v>
      </c>
      <c r="Y100" s="138">
        <f>VLOOKUP($H100,'Material impact data'!$E$19:$AM$61,'Material impact data'!Y$15,0)/VLOOKUP($H100,'Material impact data'!$E$19:$AM$61,4,0)*$I100</f>
        <v>0</v>
      </c>
      <c r="Z100" s="180">
        <f>VLOOKUP($H100,'Material impact data'!$E$19:$AM$61,'Material impact data'!Z$15,0)/VLOOKUP($H100,'Material impact data'!$E$19:$AM$61,4,0)*$I100</f>
        <v>0</v>
      </c>
      <c r="AA100" s="180">
        <f>VLOOKUP($H100,'Material impact data'!$E$19:$AM$61,'Material impact data'!AA$15,0)/VLOOKUP($H100,'Material impact data'!$E$19:$AM$61,4,0)*$I100</f>
        <v>0</v>
      </c>
      <c r="AB100" s="180">
        <f>VLOOKUP($H100,'Material impact data'!$E$19:$AM$61,'Material impact data'!AB$15,0)/VLOOKUP($H100,'Material impact data'!$E$19:$AM$61,4,0)*$I100</f>
        <v>0</v>
      </c>
      <c r="AC100" s="180">
        <f>VLOOKUP($H100,'Material impact data'!$E$19:$AM$61,'Material impact data'!AC$15,0)/VLOOKUP($H100,'Material impact data'!$E$19:$AM$61,4,0)*$I100</f>
        <v>0</v>
      </c>
      <c r="AD100" s="180">
        <f>VLOOKUP($H100,'Material impact data'!$E$19:$AM$61,'Material impact data'!AD$15,0)/VLOOKUP($H100,'Material impact data'!$E$19:$AM$61,4,0)*$I100</f>
        <v>0</v>
      </c>
      <c r="AE100" s="180">
        <f>VLOOKUP($H100,'Material impact data'!$E$19:$AM$61,'Material impact data'!AE$15,0)/VLOOKUP($H100,'Material impact data'!$E$19:$AM$61,4,0)*$I100</f>
        <v>0</v>
      </c>
      <c r="AF100" s="180">
        <f>VLOOKUP($H100,'Material impact data'!$E$19:$AM$61,'Material impact data'!AF$15,0)/VLOOKUP($H100,'Material impact data'!$E$19:$AM$61,4,0)*$I100</f>
        <v>0</v>
      </c>
      <c r="AG100" s="179">
        <f>VLOOKUP($H100,'Material impact data'!$E$19:$AM$61,'Material impact data'!AG$15,0)/VLOOKUP($H100,'Material impact data'!$E$19:$AM$61,4,0)*$I100</f>
        <v>0</v>
      </c>
      <c r="AH100" s="179">
        <f>VLOOKUP($H100,'Material impact data'!$E$19:$AM$61,'Material impact data'!AH$15,0)/VLOOKUP($H100,'Material impact data'!$E$19:$AM$61,4,0)*$I100</f>
        <v>0</v>
      </c>
      <c r="AI100" s="179">
        <f>VLOOKUP($H100,'Material impact data'!$E$19:$AM$61,'Material impact data'!AI$15,0)/VLOOKUP($H100,'Material impact data'!$E$19:$AM$61,4,0)*$I100</f>
        <v>0</v>
      </c>
      <c r="AJ100" s="179">
        <f>VLOOKUP($H100,'Material impact data'!$E$19:$AM$61,'Material impact data'!AJ$15,0)/VLOOKUP($H100,'Material impact data'!$E$19:$AM$61,4,0)*$I100</f>
        <v>0</v>
      </c>
      <c r="AK100" s="179">
        <f>VLOOKUP($H100,'Material impact data'!$E$19:$AM$61,'Material impact data'!AK$15,0)/VLOOKUP($H100,'Material impact data'!$E$19:$AM$61,4,0)*$I100</f>
        <v>0</v>
      </c>
      <c r="AL100" s="179">
        <f>VLOOKUP($H100,'Material impact data'!$E$19:$AM$61,'Material impact data'!AL$15,0)/VLOOKUP($H100,'Material impact data'!$E$19:$AM$61,4,0)*$I100</f>
        <v>0</v>
      </c>
      <c r="AM100" s="179">
        <f>VLOOKUP($H100,'Material impact data'!$E$19:$AM$61,'Material impact data'!AM$15,0)/VLOOKUP($H100,'Material impact data'!$E$19:$AM$61,4,0)*$I100</f>
        <v>0</v>
      </c>
      <c r="AO100" s="189">
        <f>M100/'Building &amp; Material inputs'!$C$18/'Building &amp; Material inputs'!$C$19</f>
        <v>0</v>
      </c>
      <c r="AP100" s="189">
        <f>N100/'Building &amp; Material inputs'!$C$18/'Building &amp; Material inputs'!$C$19</f>
        <v>0</v>
      </c>
      <c r="AQ100" s="141">
        <f>O100/'Building &amp; Material inputs'!$C$18/'Building &amp; Material inputs'!$C$19</f>
        <v>0</v>
      </c>
      <c r="AR100" s="141">
        <f>P100/'Building &amp; Material inputs'!$C$18/'Building &amp; Material inputs'!$C$19</f>
        <v>0</v>
      </c>
      <c r="AS100" s="188">
        <f>Q100/'Building &amp; Material inputs'!$C$18/'Building &amp; Material inputs'!$C$19</f>
        <v>0</v>
      </c>
      <c r="AT100" s="188">
        <f>R100/'Building &amp; Material inputs'!$C$18/'Building &amp; Material inputs'!$C$19</f>
        <v>0</v>
      </c>
      <c r="AU100" s="189">
        <f>S100/'Building &amp; Material inputs'!$C$18/'Building &amp; Material inputs'!$C$19</f>
        <v>0</v>
      </c>
      <c r="AV100" s="189">
        <f>T100/'Building &amp; Material inputs'!$C$18/'Building &amp; Material inputs'!$C$19</f>
        <v>0</v>
      </c>
      <c r="AW100" s="189">
        <f>U100/'Building &amp; Material inputs'!$C$18/'Building &amp; Material inputs'!$C$19</f>
        <v>0</v>
      </c>
      <c r="AX100" s="189">
        <f>V100/'Building &amp; Material inputs'!$C$18/'Building &amp; Material inputs'!$C$19</f>
        <v>0</v>
      </c>
      <c r="AY100" s="189">
        <f>W100/'Building &amp; Material inputs'!$C$18/'Building &amp; Material inputs'!$C$19</f>
        <v>0</v>
      </c>
      <c r="AZ100" s="189">
        <f>X100/'Building &amp; Material inputs'!$C$18/'Building &amp; Material inputs'!$C$19</f>
        <v>0</v>
      </c>
      <c r="BA100" s="189">
        <f>Y100/'Building &amp; Material inputs'!$C$18/'Building &amp; Material inputs'!$C$19</f>
        <v>0</v>
      </c>
      <c r="BB100" s="141">
        <f>Z100/'Building &amp; Material inputs'!$C$18/'Building &amp; Material inputs'!$C$19</f>
        <v>0</v>
      </c>
      <c r="BC100" s="141">
        <f>AA100/'Building &amp; Material inputs'!$C$18/'Building &amp; Material inputs'!$C$19</f>
        <v>0</v>
      </c>
      <c r="BD100" s="141">
        <f>AB100/'Building &amp; Material inputs'!$C$18/'Building &amp; Material inputs'!$C$19</f>
        <v>0</v>
      </c>
      <c r="BE100" s="141">
        <f>AC100/'Building &amp; Material inputs'!$C$18/'Building &amp; Material inputs'!$C$19</f>
        <v>0</v>
      </c>
      <c r="BF100" s="141">
        <f>AD100/'Building &amp; Material inputs'!$C$18/'Building &amp; Material inputs'!$C$19</f>
        <v>0</v>
      </c>
      <c r="BG100" s="141">
        <f>AE100/'Building &amp; Material inputs'!$C$18/'Building &amp; Material inputs'!$C$19</f>
        <v>0</v>
      </c>
      <c r="BH100" s="141">
        <f>AF100/'Building &amp; Material inputs'!$C$18/'Building &amp; Material inputs'!$C$19</f>
        <v>0</v>
      </c>
      <c r="BI100" s="188">
        <f>AG100/'Building &amp; Material inputs'!$C$18/'Building &amp; Material inputs'!$C$19</f>
        <v>0</v>
      </c>
      <c r="BJ100" s="188">
        <f>AH100/'Building &amp; Material inputs'!$C$18/'Building &amp; Material inputs'!$C$19</f>
        <v>0</v>
      </c>
      <c r="BK100" s="188">
        <f>AI100/'Building &amp; Material inputs'!$C$18/'Building &amp; Material inputs'!$C$19</f>
        <v>0</v>
      </c>
      <c r="BL100" s="188">
        <f>AJ100/'Building &amp; Material inputs'!$C$18/'Building &amp; Material inputs'!$C$19</f>
        <v>0</v>
      </c>
      <c r="BM100" s="188">
        <f>AK100/'Building &amp; Material inputs'!$C$18/'Building &amp; Material inputs'!$C$19</f>
        <v>0</v>
      </c>
      <c r="BN100" s="188">
        <f>AL100/'Building &amp; Material inputs'!$C$18/'Building &amp; Material inputs'!$C$19</f>
        <v>0</v>
      </c>
      <c r="BO100" s="188">
        <f>AM100/'Building &amp; Material inputs'!$C$18/'Building &amp; Material inputs'!$C$19</f>
        <v>0</v>
      </c>
    </row>
    <row r="101" spans="2:82" x14ac:dyDescent="0.25">
      <c r="B101" s="334"/>
      <c r="C101" s="305"/>
      <c r="D101" s="302"/>
      <c r="E101" s="305"/>
      <c r="F101" s="9" t="s">
        <v>554</v>
      </c>
      <c r="G101" s="7" t="s">
        <v>62</v>
      </c>
      <c r="H101" s="7" t="str">
        <f>'Material quantities'!G101</f>
        <v>CLT</v>
      </c>
      <c r="I101" s="38">
        <f>'Material quantities'!O101</f>
        <v>0</v>
      </c>
      <c r="J101" s="42" t="s">
        <v>14</v>
      </c>
      <c r="K101" s="2"/>
      <c r="L101" s="144">
        <f>VLOOKUP($H101,'Material impact data'!$E$19:$AM$61,6,0)/VLOOKUP($H101,'Material impact data'!$E$19:$AM$61,4,0)*$I101</f>
        <v>0</v>
      </c>
      <c r="M101" s="138">
        <f>VLOOKUP($H101,'Material impact data'!$E$19:$AM$61,'Material impact data'!M$15,0)/VLOOKUP($H101,'Material impact data'!$E$19:$AM$61,4,0)*$I101</f>
        <v>0</v>
      </c>
      <c r="N101" s="138">
        <f>VLOOKUP($H101,'Material impact data'!$E$19:$AM$61,'Material impact data'!N$15,0)/VLOOKUP($H101,'Material impact data'!$E$19:$AM$61,4,0)*$I101</f>
        <v>0</v>
      </c>
      <c r="O101" s="180">
        <f>VLOOKUP($H101,'Material impact data'!$E$19:$AM$61,'Material impact data'!O$15,0)/VLOOKUP($H101,'Material impact data'!$E$19:$AM$61,4,0)*$I101</f>
        <v>0</v>
      </c>
      <c r="P101" s="180">
        <f>VLOOKUP($H101,'Material impact data'!$E$19:$AM$61,'Material impact data'!P$15,0)/VLOOKUP($H101,'Material impact data'!$E$19:$AM$61,4,0)*$I101</f>
        <v>0</v>
      </c>
      <c r="Q101" s="179">
        <f>VLOOKUP($H101,'Material impact data'!$E$19:$AM$61,'Material impact data'!Q$15,0)/VLOOKUP($H101,'Material impact data'!$E$19:$AM$61,4,0)*$I101</f>
        <v>0</v>
      </c>
      <c r="R101" s="179">
        <f>VLOOKUP($H101,'Material impact data'!$E$19:$AM$61,'Material impact data'!R$15,0)/VLOOKUP($H101,'Material impact data'!$E$19:$AM$61,4,0)*$I101</f>
        <v>0</v>
      </c>
      <c r="S101" s="138">
        <f>VLOOKUP($H101,'Material impact data'!$E$19:$AM$61,'Material impact data'!S$15,0)/VLOOKUP($H101,'Material impact data'!$E$19:$AM$61,4,0)*$I101</f>
        <v>0</v>
      </c>
      <c r="T101" s="138">
        <f>VLOOKUP($H101,'Material impact data'!$E$19:$AM$61,'Material impact data'!T$15,0)/VLOOKUP($H101,'Material impact data'!$E$19:$AM$61,4,0)*$I101</f>
        <v>0</v>
      </c>
      <c r="U101" s="138">
        <f>VLOOKUP($H101,'Material impact data'!$E$19:$AM$61,'Material impact data'!U$15,0)/VLOOKUP($H101,'Material impact data'!$E$19:$AM$61,4,0)*$I101</f>
        <v>0</v>
      </c>
      <c r="V101" s="138">
        <f>VLOOKUP($H101,'Material impact data'!$E$19:$AM$61,'Material impact data'!V$15,0)/VLOOKUP($H101,'Material impact data'!$E$19:$AM$61,4,0)*$I101</f>
        <v>0</v>
      </c>
      <c r="W101" s="138">
        <f>VLOOKUP($H101,'Material impact data'!$E$19:$AM$61,'Material impact data'!W$15,0)/VLOOKUP($H101,'Material impact data'!$E$19:$AM$61,4,0)*$I101</f>
        <v>0</v>
      </c>
      <c r="X101" s="138">
        <f>VLOOKUP($H101,'Material impact data'!$E$19:$AM$61,'Material impact data'!X$15,0)/VLOOKUP($H101,'Material impact data'!$E$19:$AM$61,4,0)*$I101</f>
        <v>0</v>
      </c>
      <c r="Y101" s="138">
        <f>VLOOKUP($H101,'Material impact data'!$E$19:$AM$61,'Material impact data'!Y$15,0)/VLOOKUP($H101,'Material impact data'!$E$19:$AM$61,4,0)*$I101</f>
        <v>0</v>
      </c>
      <c r="Z101" s="180">
        <f>VLOOKUP($H101,'Material impact data'!$E$19:$AM$61,'Material impact data'!Z$15,0)/VLOOKUP($H101,'Material impact data'!$E$19:$AM$61,4,0)*$I101</f>
        <v>0</v>
      </c>
      <c r="AA101" s="180">
        <f>VLOOKUP($H101,'Material impact data'!$E$19:$AM$61,'Material impact data'!AA$15,0)/VLOOKUP($H101,'Material impact data'!$E$19:$AM$61,4,0)*$I101</f>
        <v>0</v>
      </c>
      <c r="AB101" s="180">
        <f>VLOOKUP($H101,'Material impact data'!$E$19:$AM$61,'Material impact data'!AB$15,0)/VLOOKUP($H101,'Material impact data'!$E$19:$AM$61,4,0)*$I101</f>
        <v>0</v>
      </c>
      <c r="AC101" s="180">
        <f>VLOOKUP($H101,'Material impact data'!$E$19:$AM$61,'Material impact data'!AC$15,0)/VLOOKUP($H101,'Material impact data'!$E$19:$AM$61,4,0)*$I101</f>
        <v>0</v>
      </c>
      <c r="AD101" s="180">
        <f>VLOOKUP($H101,'Material impact data'!$E$19:$AM$61,'Material impact data'!AD$15,0)/VLOOKUP($H101,'Material impact data'!$E$19:$AM$61,4,0)*$I101</f>
        <v>0</v>
      </c>
      <c r="AE101" s="180">
        <f>VLOOKUP($H101,'Material impact data'!$E$19:$AM$61,'Material impact data'!AE$15,0)/VLOOKUP($H101,'Material impact data'!$E$19:$AM$61,4,0)*$I101</f>
        <v>0</v>
      </c>
      <c r="AF101" s="180">
        <f>VLOOKUP($H101,'Material impact data'!$E$19:$AM$61,'Material impact data'!AF$15,0)/VLOOKUP($H101,'Material impact data'!$E$19:$AM$61,4,0)*$I101</f>
        <v>0</v>
      </c>
      <c r="AG101" s="179">
        <f>VLOOKUP($H101,'Material impact data'!$E$19:$AM$61,'Material impact data'!AG$15,0)/VLOOKUP($H101,'Material impact data'!$E$19:$AM$61,4,0)*$I101</f>
        <v>0</v>
      </c>
      <c r="AH101" s="179">
        <f>VLOOKUP($H101,'Material impact data'!$E$19:$AM$61,'Material impact data'!AH$15,0)/VLOOKUP($H101,'Material impact data'!$E$19:$AM$61,4,0)*$I101</f>
        <v>0</v>
      </c>
      <c r="AI101" s="179">
        <f>VLOOKUP($H101,'Material impact data'!$E$19:$AM$61,'Material impact data'!AI$15,0)/VLOOKUP($H101,'Material impact data'!$E$19:$AM$61,4,0)*$I101</f>
        <v>0</v>
      </c>
      <c r="AJ101" s="179">
        <f>VLOOKUP($H101,'Material impact data'!$E$19:$AM$61,'Material impact data'!AJ$15,0)/VLOOKUP($H101,'Material impact data'!$E$19:$AM$61,4,0)*$I101</f>
        <v>0</v>
      </c>
      <c r="AK101" s="179">
        <f>VLOOKUP($H101,'Material impact data'!$E$19:$AM$61,'Material impact data'!AK$15,0)/VLOOKUP($H101,'Material impact data'!$E$19:$AM$61,4,0)*$I101</f>
        <v>0</v>
      </c>
      <c r="AL101" s="179">
        <f>VLOOKUP($H101,'Material impact data'!$E$19:$AM$61,'Material impact data'!AL$15,0)/VLOOKUP($H101,'Material impact data'!$E$19:$AM$61,4,0)*$I101</f>
        <v>0</v>
      </c>
      <c r="AM101" s="179">
        <f>VLOOKUP($H101,'Material impact data'!$E$19:$AM$61,'Material impact data'!AM$15,0)/VLOOKUP($H101,'Material impact data'!$E$19:$AM$61,4,0)*$I101</f>
        <v>0</v>
      </c>
      <c r="AO101" s="189">
        <f>M101/'Building &amp; Material inputs'!$C$18/'Building &amp; Material inputs'!$C$19</f>
        <v>0</v>
      </c>
      <c r="AP101" s="189">
        <f>N101/'Building &amp; Material inputs'!$C$18/'Building &amp; Material inputs'!$C$19</f>
        <v>0</v>
      </c>
      <c r="AQ101" s="141">
        <f>O101/'Building &amp; Material inputs'!$C$18/'Building &amp; Material inputs'!$C$19</f>
        <v>0</v>
      </c>
      <c r="AR101" s="141">
        <f>P101/'Building &amp; Material inputs'!$C$18/'Building &amp; Material inputs'!$C$19</f>
        <v>0</v>
      </c>
      <c r="AS101" s="188">
        <f>Q101/'Building &amp; Material inputs'!$C$18/'Building &amp; Material inputs'!$C$19</f>
        <v>0</v>
      </c>
      <c r="AT101" s="188">
        <f>R101/'Building &amp; Material inputs'!$C$18/'Building &amp; Material inputs'!$C$19</f>
        <v>0</v>
      </c>
      <c r="AU101" s="189">
        <f>S101/'Building &amp; Material inputs'!$C$18/'Building &amp; Material inputs'!$C$19</f>
        <v>0</v>
      </c>
      <c r="AV101" s="189">
        <f>T101/'Building &amp; Material inputs'!$C$18/'Building &amp; Material inputs'!$C$19</f>
        <v>0</v>
      </c>
      <c r="AW101" s="189">
        <f>U101/'Building &amp; Material inputs'!$C$18/'Building &amp; Material inputs'!$C$19</f>
        <v>0</v>
      </c>
      <c r="AX101" s="189">
        <f>V101/'Building &amp; Material inputs'!$C$18/'Building &amp; Material inputs'!$C$19</f>
        <v>0</v>
      </c>
      <c r="AY101" s="189">
        <f>W101/'Building &amp; Material inputs'!$C$18/'Building &amp; Material inputs'!$C$19</f>
        <v>0</v>
      </c>
      <c r="AZ101" s="189">
        <f>X101/'Building &amp; Material inputs'!$C$18/'Building &amp; Material inputs'!$C$19</f>
        <v>0</v>
      </c>
      <c r="BA101" s="189">
        <f>Y101/'Building &amp; Material inputs'!$C$18/'Building &amp; Material inputs'!$C$19</f>
        <v>0</v>
      </c>
      <c r="BB101" s="141">
        <f>Z101/'Building &amp; Material inputs'!$C$18/'Building &amp; Material inputs'!$C$19</f>
        <v>0</v>
      </c>
      <c r="BC101" s="141">
        <f>AA101/'Building &amp; Material inputs'!$C$18/'Building &amp; Material inputs'!$C$19</f>
        <v>0</v>
      </c>
      <c r="BD101" s="141">
        <f>AB101/'Building &amp; Material inputs'!$C$18/'Building &amp; Material inputs'!$C$19</f>
        <v>0</v>
      </c>
      <c r="BE101" s="141">
        <f>AC101/'Building &amp; Material inputs'!$C$18/'Building &amp; Material inputs'!$C$19</f>
        <v>0</v>
      </c>
      <c r="BF101" s="141">
        <f>AD101/'Building &amp; Material inputs'!$C$18/'Building &amp; Material inputs'!$C$19</f>
        <v>0</v>
      </c>
      <c r="BG101" s="141">
        <f>AE101/'Building &amp; Material inputs'!$C$18/'Building &amp; Material inputs'!$C$19</f>
        <v>0</v>
      </c>
      <c r="BH101" s="141">
        <f>AF101/'Building &amp; Material inputs'!$C$18/'Building &amp; Material inputs'!$C$19</f>
        <v>0</v>
      </c>
      <c r="BI101" s="188">
        <f>AG101/'Building &amp; Material inputs'!$C$18/'Building &amp; Material inputs'!$C$19</f>
        <v>0</v>
      </c>
      <c r="BJ101" s="188">
        <f>AH101/'Building &amp; Material inputs'!$C$18/'Building &amp; Material inputs'!$C$19</f>
        <v>0</v>
      </c>
      <c r="BK101" s="188">
        <f>AI101/'Building &amp; Material inputs'!$C$18/'Building &amp; Material inputs'!$C$19</f>
        <v>0</v>
      </c>
      <c r="BL101" s="188">
        <f>AJ101/'Building &amp; Material inputs'!$C$18/'Building &amp; Material inputs'!$C$19</f>
        <v>0</v>
      </c>
      <c r="BM101" s="188">
        <f>AK101/'Building &amp; Material inputs'!$C$18/'Building &amp; Material inputs'!$C$19</f>
        <v>0</v>
      </c>
      <c r="BN101" s="188">
        <f>AL101/'Building &amp; Material inputs'!$C$18/'Building &amp; Material inputs'!$C$19</f>
        <v>0</v>
      </c>
      <c r="BO101" s="188">
        <f>AM101/'Building &amp; Material inputs'!$C$18/'Building &amp; Material inputs'!$C$19</f>
        <v>0</v>
      </c>
    </row>
    <row r="102" spans="2:82" x14ac:dyDescent="0.25">
      <c r="B102" s="334"/>
      <c r="C102" s="305"/>
      <c r="D102" s="302"/>
      <c r="E102" s="306"/>
      <c r="F102" s="9" t="s">
        <v>555</v>
      </c>
      <c r="G102" s="7" t="s">
        <v>604</v>
      </c>
      <c r="H102" s="7" t="str">
        <f>'Material quantities'!G102</f>
        <v>ST-G</v>
      </c>
      <c r="I102" s="38">
        <f>'Material quantities'!O102</f>
        <v>0</v>
      </c>
      <c r="J102" s="42" t="s">
        <v>15</v>
      </c>
      <c r="K102" s="2"/>
      <c r="L102" s="144">
        <f>VLOOKUP($H102,'Material impact data'!$E$19:$AM$61,6,0)/VLOOKUP($H102,'Material impact data'!$E$19:$AM$61,4,0)*$I102</f>
        <v>0</v>
      </c>
      <c r="M102" s="138">
        <f>VLOOKUP($H102,'Material impact data'!$E$19:$AM$61,'Material impact data'!M$15,0)/VLOOKUP($H102,'Material impact data'!$E$19:$AM$61,4,0)*$I102</f>
        <v>0</v>
      </c>
      <c r="N102" s="138">
        <f>VLOOKUP($H102,'Material impact data'!$E$19:$AM$61,'Material impact data'!N$15,0)/VLOOKUP($H102,'Material impact data'!$E$19:$AM$61,4,0)*$I102</f>
        <v>0</v>
      </c>
      <c r="O102" s="180">
        <f>VLOOKUP($H102,'Material impact data'!$E$19:$AM$61,'Material impact data'!O$15,0)/VLOOKUP($H102,'Material impact data'!$E$19:$AM$61,4,0)*$I102</f>
        <v>0</v>
      </c>
      <c r="P102" s="180">
        <f>VLOOKUP($H102,'Material impact data'!$E$19:$AM$61,'Material impact data'!P$15,0)/VLOOKUP($H102,'Material impact data'!$E$19:$AM$61,4,0)*$I102</f>
        <v>0</v>
      </c>
      <c r="Q102" s="179">
        <f>VLOOKUP($H102,'Material impact data'!$E$19:$AM$61,'Material impact data'!Q$15,0)/VLOOKUP($H102,'Material impact data'!$E$19:$AM$61,4,0)*$I102</f>
        <v>0</v>
      </c>
      <c r="R102" s="179">
        <f>VLOOKUP($H102,'Material impact data'!$E$19:$AM$61,'Material impact data'!R$15,0)/VLOOKUP($H102,'Material impact data'!$E$19:$AM$61,4,0)*$I102</f>
        <v>0</v>
      </c>
      <c r="S102" s="138">
        <f>VLOOKUP($H102,'Material impact data'!$E$19:$AM$61,'Material impact data'!S$15,0)/VLOOKUP($H102,'Material impact data'!$E$19:$AM$61,4,0)*$I102</f>
        <v>0</v>
      </c>
      <c r="T102" s="138">
        <f>VLOOKUP($H102,'Material impact data'!$E$19:$AM$61,'Material impact data'!T$15,0)/VLOOKUP($H102,'Material impact data'!$E$19:$AM$61,4,0)*$I102</f>
        <v>0</v>
      </c>
      <c r="U102" s="138">
        <f>VLOOKUP($H102,'Material impact data'!$E$19:$AM$61,'Material impact data'!U$15,0)/VLOOKUP($H102,'Material impact data'!$E$19:$AM$61,4,0)*$I102</f>
        <v>0</v>
      </c>
      <c r="V102" s="138">
        <f>VLOOKUP($H102,'Material impact data'!$E$19:$AM$61,'Material impact data'!V$15,0)/VLOOKUP($H102,'Material impact data'!$E$19:$AM$61,4,0)*$I102</f>
        <v>0</v>
      </c>
      <c r="W102" s="138">
        <f>VLOOKUP($H102,'Material impact data'!$E$19:$AM$61,'Material impact data'!W$15,0)/VLOOKUP($H102,'Material impact data'!$E$19:$AM$61,4,0)*$I102</f>
        <v>0</v>
      </c>
      <c r="X102" s="138">
        <f>VLOOKUP($H102,'Material impact data'!$E$19:$AM$61,'Material impact data'!X$15,0)/VLOOKUP($H102,'Material impact data'!$E$19:$AM$61,4,0)*$I102</f>
        <v>0</v>
      </c>
      <c r="Y102" s="138">
        <f>VLOOKUP($H102,'Material impact data'!$E$19:$AM$61,'Material impact data'!Y$15,0)/VLOOKUP($H102,'Material impact data'!$E$19:$AM$61,4,0)*$I102</f>
        <v>0</v>
      </c>
      <c r="Z102" s="180">
        <f>VLOOKUP($H102,'Material impact data'!$E$19:$AM$61,'Material impact data'!Z$15,0)/VLOOKUP($H102,'Material impact data'!$E$19:$AM$61,4,0)*$I102</f>
        <v>0</v>
      </c>
      <c r="AA102" s="180">
        <f>VLOOKUP($H102,'Material impact data'!$E$19:$AM$61,'Material impact data'!AA$15,0)/VLOOKUP($H102,'Material impact data'!$E$19:$AM$61,4,0)*$I102</f>
        <v>0</v>
      </c>
      <c r="AB102" s="180">
        <f>VLOOKUP($H102,'Material impact data'!$E$19:$AM$61,'Material impact data'!AB$15,0)/VLOOKUP($H102,'Material impact data'!$E$19:$AM$61,4,0)*$I102</f>
        <v>0</v>
      </c>
      <c r="AC102" s="180">
        <f>VLOOKUP($H102,'Material impact data'!$E$19:$AM$61,'Material impact data'!AC$15,0)/VLOOKUP($H102,'Material impact data'!$E$19:$AM$61,4,0)*$I102</f>
        <v>0</v>
      </c>
      <c r="AD102" s="180">
        <f>VLOOKUP($H102,'Material impact data'!$E$19:$AM$61,'Material impact data'!AD$15,0)/VLOOKUP($H102,'Material impact data'!$E$19:$AM$61,4,0)*$I102</f>
        <v>0</v>
      </c>
      <c r="AE102" s="180">
        <f>VLOOKUP($H102,'Material impact data'!$E$19:$AM$61,'Material impact data'!AE$15,0)/VLOOKUP($H102,'Material impact data'!$E$19:$AM$61,4,0)*$I102</f>
        <v>0</v>
      </c>
      <c r="AF102" s="180">
        <f>VLOOKUP($H102,'Material impact data'!$E$19:$AM$61,'Material impact data'!AF$15,0)/VLOOKUP($H102,'Material impact data'!$E$19:$AM$61,4,0)*$I102</f>
        <v>0</v>
      </c>
      <c r="AG102" s="179">
        <f>VLOOKUP($H102,'Material impact data'!$E$19:$AM$61,'Material impact data'!AG$15,0)/VLOOKUP($H102,'Material impact data'!$E$19:$AM$61,4,0)*$I102</f>
        <v>0</v>
      </c>
      <c r="AH102" s="179">
        <f>VLOOKUP($H102,'Material impact data'!$E$19:$AM$61,'Material impact data'!AH$15,0)/VLOOKUP($H102,'Material impact data'!$E$19:$AM$61,4,0)*$I102</f>
        <v>0</v>
      </c>
      <c r="AI102" s="179">
        <f>VLOOKUP($H102,'Material impact data'!$E$19:$AM$61,'Material impact data'!AI$15,0)/VLOOKUP($H102,'Material impact data'!$E$19:$AM$61,4,0)*$I102</f>
        <v>0</v>
      </c>
      <c r="AJ102" s="179">
        <f>VLOOKUP($H102,'Material impact data'!$E$19:$AM$61,'Material impact data'!AJ$15,0)/VLOOKUP($H102,'Material impact data'!$E$19:$AM$61,4,0)*$I102</f>
        <v>0</v>
      </c>
      <c r="AK102" s="179">
        <f>VLOOKUP($H102,'Material impact data'!$E$19:$AM$61,'Material impact data'!AK$15,0)/VLOOKUP($H102,'Material impact data'!$E$19:$AM$61,4,0)*$I102</f>
        <v>0</v>
      </c>
      <c r="AL102" s="179">
        <f>VLOOKUP($H102,'Material impact data'!$E$19:$AM$61,'Material impact data'!AL$15,0)/VLOOKUP($H102,'Material impact data'!$E$19:$AM$61,4,0)*$I102</f>
        <v>0</v>
      </c>
      <c r="AM102" s="179">
        <f>VLOOKUP($H102,'Material impact data'!$E$19:$AM$61,'Material impact data'!AM$15,0)/VLOOKUP($H102,'Material impact data'!$E$19:$AM$61,4,0)*$I102</f>
        <v>0</v>
      </c>
      <c r="AO102" s="189">
        <f>M102/'Building &amp; Material inputs'!$C$18/'Building &amp; Material inputs'!$C$19</f>
        <v>0</v>
      </c>
      <c r="AP102" s="189">
        <f>N102/'Building &amp; Material inputs'!$C$18/'Building &amp; Material inputs'!$C$19</f>
        <v>0</v>
      </c>
      <c r="AQ102" s="141">
        <f>O102/'Building &amp; Material inputs'!$C$18/'Building &amp; Material inputs'!$C$19</f>
        <v>0</v>
      </c>
      <c r="AR102" s="141">
        <f>P102/'Building &amp; Material inputs'!$C$18/'Building &amp; Material inputs'!$C$19</f>
        <v>0</v>
      </c>
      <c r="AS102" s="188">
        <f>Q102/'Building &amp; Material inputs'!$C$18/'Building &amp; Material inputs'!$C$19</f>
        <v>0</v>
      </c>
      <c r="AT102" s="188">
        <f>R102/'Building &amp; Material inputs'!$C$18/'Building &amp; Material inputs'!$C$19</f>
        <v>0</v>
      </c>
      <c r="AU102" s="189">
        <f>S102/'Building &amp; Material inputs'!$C$18/'Building &amp; Material inputs'!$C$19</f>
        <v>0</v>
      </c>
      <c r="AV102" s="189">
        <f>T102/'Building &amp; Material inputs'!$C$18/'Building &amp; Material inputs'!$C$19</f>
        <v>0</v>
      </c>
      <c r="AW102" s="189">
        <f>U102/'Building &amp; Material inputs'!$C$18/'Building &amp; Material inputs'!$C$19</f>
        <v>0</v>
      </c>
      <c r="AX102" s="189">
        <f>V102/'Building &amp; Material inputs'!$C$18/'Building &amp; Material inputs'!$C$19</f>
        <v>0</v>
      </c>
      <c r="AY102" s="189">
        <f>W102/'Building &amp; Material inputs'!$C$18/'Building &amp; Material inputs'!$C$19</f>
        <v>0</v>
      </c>
      <c r="AZ102" s="189">
        <f>X102/'Building &amp; Material inputs'!$C$18/'Building &amp; Material inputs'!$C$19</f>
        <v>0</v>
      </c>
      <c r="BA102" s="189">
        <f>Y102/'Building &amp; Material inputs'!$C$18/'Building &amp; Material inputs'!$C$19</f>
        <v>0</v>
      </c>
      <c r="BB102" s="141">
        <f>Z102/'Building &amp; Material inputs'!$C$18/'Building &amp; Material inputs'!$C$19</f>
        <v>0</v>
      </c>
      <c r="BC102" s="141">
        <f>AA102/'Building &amp; Material inputs'!$C$18/'Building &amp; Material inputs'!$C$19</f>
        <v>0</v>
      </c>
      <c r="BD102" s="141">
        <f>AB102/'Building &amp; Material inputs'!$C$18/'Building &amp; Material inputs'!$C$19</f>
        <v>0</v>
      </c>
      <c r="BE102" s="141">
        <f>AC102/'Building &amp; Material inputs'!$C$18/'Building &amp; Material inputs'!$C$19</f>
        <v>0</v>
      </c>
      <c r="BF102" s="141">
        <f>AD102/'Building &amp; Material inputs'!$C$18/'Building &amp; Material inputs'!$C$19</f>
        <v>0</v>
      </c>
      <c r="BG102" s="141">
        <f>AE102/'Building &amp; Material inputs'!$C$18/'Building &amp; Material inputs'!$C$19</f>
        <v>0</v>
      </c>
      <c r="BH102" s="141">
        <f>AF102/'Building &amp; Material inputs'!$C$18/'Building &amp; Material inputs'!$C$19</f>
        <v>0</v>
      </c>
      <c r="BI102" s="188">
        <f>AG102/'Building &amp; Material inputs'!$C$18/'Building &amp; Material inputs'!$C$19</f>
        <v>0</v>
      </c>
      <c r="BJ102" s="188">
        <f>AH102/'Building &amp; Material inputs'!$C$18/'Building &amp; Material inputs'!$C$19</f>
        <v>0</v>
      </c>
      <c r="BK102" s="188">
        <f>AI102/'Building &amp; Material inputs'!$C$18/'Building &amp; Material inputs'!$C$19</f>
        <v>0</v>
      </c>
      <c r="BL102" s="188">
        <f>AJ102/'Building &amp; Material inputs'!$C$18/'Building &amp; Material inputs'!$C$19</f>
        <v>0</v>
      </c>
      <c r="BM102" s="188">
        <f>AK102/'Building &amp; Material inputs'!$C$18/'Building &amp; Material inputs'!$C$19</f>
        <v>0</v>
      </c>
      <c r="BN102" s="188">
        <f>AL102/'Building &amp; Material inputs'!$C$18/'Building &amp; Material inputs'!$C$19</f>
        <v>0</v>
      </c>
      <c r="BO102" s="188">
        <f>AM102/'Building &amp; Material inputs'!$C$18/'Building &amp; Material inputs'!$C$19</f>
        <v>0</v>
      </c>
    </row>
    <row r="103" spans="2:82" x14ac:dyDescent="0.25">
      <c r="B103" s="334"/>
      <c r="C103" s="305"/>
      <c r="D103" s="302"/>
      <c r="E103" s="302" t="s">
        <v>160</v>
      </c>
      <c r="F103" s="9" t="s">
        <v>194</v>
      </c>
      <c r="G103" s="7" t="s">
        <v>65</v>
      </c>
      <c r="H103" s="7" t="str">
        <f>'Material quantities'!G103</f>
        <v>CEFT</v>
      </c>
      <c r="I103" s="38">
        <f>'Material quantities'!O103</f>
        <v>0</v>
      </c>
      <c r="J103" s="42" t="s">
        <v>332</v>
      </c>
      <c r="K103" s="2"/>
      <c r="L103" s="144">
        <f>VLOOKUP($H103,'Material impact data'!$E$19:$AM$61,6,0)/VLOOKUP($H103,'Material impact data'!$E$19:$AM$61,4,0)*$I103</f>
        <v>0</v>
      </c>
      <c r="M103" s="138">
        <f>VLOOKUP($H103,'Material impact data'!$E$19:$AM$61,'Material impact data'!M$15,0)/VLOOKUP($H103,'Material impact data'!$E$19:$AM$61,4,0)*$I103</f>
        <v>0</v>
      </c>
      <c r="N103" s="138">
        <f>VLOOKUP($H103,'Material impact data'!$E$19:$AM$61,'Material impact data'!N$15,0)/VLOOKUP($H103,'Material impact data'!$E$19:$AM$61,4,0)*$I103</f>
        <v>0</v>
      </c>
      <c r="O103" s="180">
        <f>VLOOKUP($H103,'Material impact data'!$E$19:$AM$61,'Material impact data'!O$15,0)/VLOOKUP($H103,'Material impact data'!$E$19:$AM$61,4,0)*$I103</f>
        <v>0</v>
      </c>
      <c r="P103" s="180">
        <f>VLOOKUP($H103,'Material impact data'!$E$19:$AM$61,'Material impact data'!P$15,0)/VLOOKUP($H103,'Material impact data'!$E$19:$AM$61,4,0)*$I103</f>
        <v>0</v>
      </c>
      <c r="Q103" s="179">
        <f>VLOOKUP($H103,'Material impact data'!$E$19:$AM$61,'Material impact data'!Q$15,0)/VLOOKUP($H103,'Material impact data'!$E$19:$AM$61,4,0)*$I103</f>
        <v>0</v>
      </c>
      <c r="R103" s="179">
        <f>VLOOKUP($H103,'Material impact data'!$E$19:$AM$61,'Material impact data'!R$15,0)/VLOOKUP($H103,'Material impact data'!$E$19:$AM$61,4,0)*$I103</f>
        <v>0</v>
      </c>
      <c r="S103" s="138">
        <f>VLOOKUP($H103,'Material impact data'!$E$19:$AM$61,'Material impact data'!S$15,0)/VLOOKUP($H103,'Material impact data'!$E$19:$AM$61,4,0)*$I103</f>
        <v>0</v>
      </c>
      <c r="T103" s="138">
        <f>VLOOKUP($H103,'Material impact data'!$E$19:$AM$61,'Material impact data'!T$15,0)/VLOOKUP($H103,'Material impact data'!$E$19:$AM$61,4,0)*$I103</f>
        <v>0</v>
      </c>
      <c r="U103" s="138">
        <f>VLOOKUP($H103,'Material impact data'!$E$19:$AM$61,'Material impact data'!U$15,0)/VLOOKUP($H103,'Material impact data'!$E$19:$AM$61,4,0)*$I103</f>
        <v>0</v>
      </c>
      <c r="V103" s="138">
        <f>VLOOKUP($H103,'Material impact data'!$E$19:$AM$61,'Material impact data'!V$15,0)/VLOOKUP($H103,'Material impact data'!$E$19:$AM$61,4,0)*$I103</f>
        <v>0</v>
      </c>
      <c r="W103" s="138">
        <f>VLOOKUP($H103,'Material impact data'!$E$19:$AM$61,'Material impact data'!W$15,0)/VLOOKUP($H103,'Material impact data'!$E$19:$AM$61,4,0)*$I103</f>
        <v>0</v>
      </c>
      <c r="X103" s="138">
        <f>VLOOKUP($H103,'Material impact data'!$E$19:$AM$61,'Material impact data'!X$15,0)/VLOOKUP($H103,'Material impact data'!$E$19:$AM$61,4,0)*$I103</f>
        <v>0</v>
      </c>
      <c r="Y103" s="138">
        <f>VLOOKUP($H103,'Material impact data'!$E$19:$AM$61,'Material impact data'!Y$15,0)/VLOOKUP($H103,'Material impact data'!$E$19:$AM$61,4,0)*$I103</f>
        <v>0</v>
      </c>
      <c r="Z103" s="180">
        <f>VLOOKUP($H103,'Material impact data'!$E$19:$AM$61,'Material impact data'!Z$15,0)/VLOOKUP($H103,'Material impact data'!$E$19:$AM$61,4,0)*$I103</f>
        <v>0</v>
      </c>
      <c r="AA103" s="180">
        <f>VLOOKUP($H103,'Material impact data'!$E$19:$AM$61,'Material impact data'!AA$15,0)/VLOOKUP($H103,'Material impact data'!$E$19:$AM$61,4,0)*$I103</f>
        <v>0</v>
      </c>
      <c r="AB103" s="180">
        <f>VLOOKUP($H103,'Material impact data'!$E$19:$AM$61,'Material impact data'!AB$15,0)/VLOOKUP($H103,'Material impact data'!$E$19:$AM$61,4,0)*$I103</f>
        <v>0</v>
      </c>
      <c r="AC103" s="180">
        <f>VLOOKUP($H103,'Material impact data'!$E$19:$AM$61,'Material impact data'!AC$15,0)/VLOOKUP($H103,'Material impact data'!$E$19:$AM$61,4,0)*$I103</f>
        <v>0</v>
      </c>
      <c r="AD103" s="180">
        <f>VLOOKUP($H103,'Material impact data'!$E$19:$AM$61,'Material impact data'!AD$15,0)/VLOOKUP($H103,'Material impact data'!$E$19:$AM$61,4,0)*$I103</f>
        <v>0</v>
      </c>
      <c r="AE103" s="180">
        <f>VLOOKUP($H103,'Material impact data'!$E$19:$AM$61,'Material impact data'!AE$15,0)/VLOOKUP($H103,'Material impact data'!$E$19:$AM$61,4,0)*$I103</f>
        <v>0</v>
      </c>
      <c r="AF103" s="180">
        <f>VLOOKUP($H103,'Material impact data'!$E$19:$AM$61,'Material impact data'!AF$15,0)/VLOOKUP($H103,'Material impact data'!$E$19:$AM$61,4,0)*$I103</f>
        <v>0</v>
      </c>
      <c r="AG103" s="179">
        <f>VLOOKUP($H103,'Material impact data'!$E$19:$AM$61,'Material impact data'!AG$15,0)/VLOOKUP($H103,'Material impact data'!$E$19:$AM$61,4,0)*$I103</f>
        <v>0</v>
      </c>
      <c r="AH103" s="179">
        <f>VLOOKUP($H103,'Material impact data'!$E$19:$AM$61,'Material impact data'!AH$15,0)/VLOOKUP($H103,'Material impact data'!$E$19:$AM$61,4,0)*$I103</f>
        <v>0</v>
      </c>
      <c r="AI103" s="179">
        <f>VLOOKUP($H103,'Material impact data'!$E$19:$AM$61,'Material impact data'!AI$15,0)/VLOOKUP($H103,'Material impact data'!$E$19:$AM$61,4,0)*$I103</f>
        <v>0</v>
      </c>
      <c r="AJ103" s="179">
        <f>VLOOKUP($H103,'Material impact data'!$E$19:$AM$61,'Material impact data'!AJ$15,0)/VLOOKUP($H103,'Material impact data'!$E$19:$AM$61,4,0)*$I103</f>
        <v>0</v>
      </c>
      <c r="AK103" s="179">
        <f>VLOOKUP($H103,'Material impact data'!$E$19:$AM$61,'Material impact data'!AK$15,0)/VLOOKUP($H103,'Material impact data'!$E$19:$AM$61,4,0)*$I103</f>
        <v>0</v>
      </c>
      <c r="AL103" s="179">
        <f>VLOOKUP($H103,'Material impact data'!$E$19:$AM$61,'Material impact data'!AL$15,0)/VLOOKUP($H103,'Material impact data'!$E$19:$AM$61,4,0)*$I103</f>
        <v>0</v>
      </c>
      <c r="AM103" s="179">
        <f>VLOOKUP($H103,'Material impact data'!$E$19:$AM$61,'Material impact data'!AM$15,0)/VLOOKUP($H103,'Material impact data'!$E$19:$AM$61,4,0)*$I103</f>
        <v>0</v>
      </c>
      <c r="AO103" s="189">
        <f>M103/'Building &amp; Material inputs'!$C$18/'Building &amp; Material inputs'!$C$19</f>
        <v>0</v>
      </c>
      <c r="AP103" s="189">
        <f>N103/'Building &amp; Material inputs'!$C$18/'Building &amp; Material inputs'!$C$19</f>
        <v>0</v>
      </c>
      <c r="AQ103" s="141">
        <f>O103/'Building &amp; Material inputs'!$C$18/'Building &amp; Material inputs'!$C$19</f>
        <v>0</v>
      </c>
      <c r="AR103" s="141">
        <f>P103/'Building &amp; Material inputs'!$C$18/'Building &amp; Material inputs'!$C$19</f>
        <v>0</v>
      </c>
      <c r="AS103" s="188">
        <f>Q103/'Building &amp; Material inputs'!$C$18/'Building &amp; Material inputs'!$C$19</f>
        <v>0</v>
      </c>
      <c r="AT103" s="188">
        <f>R103/'Building &amp; Material inputs'!$C$18/'Building &amp; Material inputs'!$C$19</f>
        <v>0</v>
      </c>
      <c r="AU103" s="189">
        <f>S103/'Building &amp; Material inputs'!$C$18/'Building &amp; Material inputs'!$C$19</f>
        <v>0</v>
      </c>
      <c r="AV103" s="189">
        <f>T103/'Building &amp; Material inputs'!$C$18/'Building &amp; Material inputs'!$C$19</f>
        <v>0</v>
      </c>
      <c r="AW103" s="189">
        <f>U103/'Building &amp; Material inputs'!$C$18/'Building &amp; Material inputs'!$C$19</f>
        <v>0</v>
      </c>
      <c r="AX103" s="189">
        <f>V103/'Building &amp; Material inputs'!$C$18/'Building &amp; Material inputs'!$C$19</f>
        <v>0</v>
      </c>
      <c r="AY103" s="189">
        <f>W103/'Building &amp; Material inputs'!$C$18/'Building &amp; Material inputs'!$C$19</f>
        <v>0</v>
      </c>
      <c r="AZ103" s="189">
        <f>X103/'Building &amp; Material inputs'!$C$18/'Building &amp; Material inputs'!$C$19</f>
        <v>0</v>
      </c>
      <c r="BA103" s="189">
        <f>Y103/'Building &amp; Material inputs'!$C$18/'Building &amp; Material inputs'!$C$19</f>
        <v>0</v>
      </c>
      <c r="BB103" s="141">
        <f>Z103/'Building &amp; Material inputs'!$C$18/'Building &amp; Material inputs'!$C$19</f>
        <v>0</v>
      </c>
      <c r="BC103" s="141">
        <f>AA103/'Building &amp; Material inputs'!$C$18/'Building &amp; Material inputs'!$C$19</f>
        <v>0</v>
      </c>
      <c r="BD103" s="141">
        <f>AB103/'Building &amp; Material inputs'!$C$18/'Building &amp; Material inputs'!$C$19</f>
        <v>0</v>
      </c>
      <c r="BE103" s="141">
        <f>AC103/'Building &amp; Material inputs'!$C$18/'Building &amp; Material inputs'!$C$19</f>
        <v>0</v>
      </c>
      <c r="BF103" s="141">
        <f>AD103/'Building &amp; Material inputs'!$C$18/'Building &amp; Material inputs'!$C$19</f>
        <v>0</v>
      </c>
      <c r="BG103" s="141">
        <f>AE103/'Building &amp; Material inputs'!$C$18/'Building &amp; Material inputs'!$C$19</f>
        <v>0</v>
      </c>
      <c r="BH103" s="141">
        <f>AF103/'Building &amp; Material inputs'!$C$18/'Building &amp; Material inputs'!$C$19</f>
        <v>0</v>
      </c>
      <c r="BI103" s="188">
        <f>AG103/'Building &amp; Material inputs'!$C$18/'Building &amp; Material inputs'!$C$19</f>
        <v>0</v>
      </c>
      <c r="BJ103" s="188">
        <f>AH103/'Building &amp; Material inputs'!$C$18/'Building &amp; Material inputs'!$C$19</f>
        <v>0</v>
      </c>
      <c r="BK103" s="188">
        <f>AI103/'Building &amp; Material inputs'!$C$18/'Building &amp; Material inputs'!$C$19</f>
        <v>0</v>
      </c>
      <c r="BL103" s="188">
        <f>AJ103/'Building &amp; Material inputs'!$C$18/'Building &amp; Material inputs'!$C$19</f>
        <v>0</v>
      </c>
      <c r="BM103" s="188">
        <f>AK103/'Building &amp; Material inputs'!$C$18/'Building &amp; Material inputs'!$C$19</f>
        <v>0</v>
      </c>
      <c r="BN103" s="188">
        <f>AL103/'Building &amp; Material inputs'!$C$18/'Building &amp; Material inputs'!$C$19</f>
        <v>0</v>
      </c>
      <c r="BO103" s="188">
        <f>AM103/'Building &amp; Material inputs'!$C$18/'Building &amp; Material inputs'!$C$19</f>
        <v>0</v>
      </c>
    </row>
    <row r="104" spans="2:82" x14ac:dyDescent="0.25">
      <c r="B104" s="334"/>
      <c r="C104" s="305"/>
      <c r="D104" s="302"/>
      <c r="E104" s="302"/>
      <c r="F104" s="9" t="s">
        <v>195</v>
      </c>
      <c r="G104" s="7" t="s">
        <v>66</v>
      </c>
      <c r="H104" s="7" t="str">
        <f>'Material quantities'!G104</f>
        <v>ADH</v>
      </c>
      <c r="I104" s="38">
        <f>'Material quantities'!O104</f>
        <v>0</v>
      </c>
      <c r="J104" s="42" t="s">
        <v>15</v>
      </c>
      <c r="K104" s="2"/>
      <c r="L104" s="144">
        <f>VLOOKUP($H104,'Material impact data'!$E$19:$AM$61,6,0)/VLOOKUP($H104,'Material impact data'!$E$19:$AM$61,4,0)*$I104</f>
        <v>0</v>
      </c>
      <c r="M104" s="138">
        <f>VLOOKUP($H104,'Material impact data'!$E$19:$AM$61,'Material impact data'!M$15,0)/VLOOKUP($H104,'Material impact data'!$E$19:$AM$61,4,0)*$I104</f>
        <v>0</v>
      </c>
      <c r="N104" s="138">
        <f>VLOOKUP($H104,'Material impact data'!$E$19:$AM$61,'Material impact data'!N$15,0)/VLOOKUP($H104,'Material impact data'!$E$19:$AM$61,4,0)*$I104</f>
        <v>0</v>
      </c>
      <c r="O104" s="180">
        <f>VLOOKUP($H104,'Material impact data'!$E$19:$AM$61,'Material impact data'!O$15,0)/VLOOKUP($H104,'Material impact data'!$E$19:$AM$61,4,0)*$I104</f>
        <v>0</v>
      </c>
      <c r="P104" s="180">
        <f>VLOOKUP($H104,'Material impact data'!$E$19:$AM$61,'Material impact data'!P$15,0)/VLOOKUP($H104,'Material impact data'!$E$19:$AM$61,4,0)*$I104</f>
        <v>0</v>
      </c>
      <c r="Q104" s="179">
        <f>VLOOKUP($H104,'Material impact data'!$E$19:$AM$61,'Material impact data'!Q$15,0)/VLOOKUP($H104,'Material impact data'!$E$19:$AM$61,4,0)*$I104</f>
        <v>0</v>
      </c>
      <c r="R104" s="179">
        <f>VLOOKUP($H104,'Material impact data'!$E$19:$AM$61,'Material impact data'!R$15,0)/VLOOKUP($H104,'Material impact data'!$E$19:$AM$61,4,0)*$I104</f>
        <v>0</v>
      </c>
      <c r="S104" s="138">
        <f>VLOOKUP($H104,'Material impact data'!$E$19:$AM$61,'Material impact data'!S$15,0)/VLOOKUP($H104,'Material impact data'!$E$19:$AM$61,4,0)*$I104</f>
        <v>0</v>
      </c>
      <c r="T104" s="138">
        <f>VLOOKUP($H104,'Material impact data'!$E$19:$AM$61,'Material impact data'!T$15,0)/VLOOKUP($H104,'Material impact data'!$E$19:$AM$61,4,0)*$I104</f>
        <v>0</v>
      </c>
      <c r="U104" s="138">
        <f>VLOOKUP($H104,'Material impact data'!$E$19:$AM$61,'Material impact data'!U$15,0)/VLOOKUP($H104,'Material impact data'!$E$19:$AM$61,4,0)*$I104</f>
        <v>0</v>
      </c>
      <c r="V104" s="138">
        <f>VLOOKUP($H104,'Material impact data'!$E$19:$AM$61,'Material impact data'!V$15,0)/VLOOKUP($H104,'Material impact data'!$E$19:$AM$61,4,0)*$I104</f>
        <v>0</v>
      </c>
      <c r="W104" s="138">
        <f>VLOOKUP($H104,'Material impact data'!$E$19:$AM$61,'Material impact data'!W$15,0)/VLOOKUP($H104,'Material impact data'!$E$19:$AM$61,4,0)*$I104</f>
        <v>0</v>
      </c>
      <c r="X104" s="138">
        <f>VLOOKUP($H104,'Material impact data'!$E$19:$AM$61,'Material impact data'!X$15,0)/VLOOKUP($H104,'Material impact data'!$E$19:$AM$61,4,0)*$I104</f>
        <v>0</v>
      </c>
      <c r="Y104" s="138">
        <f>VLOOKUP($H104,'Material impact data'!$E$19:$AM$61,'Material impact data'!Y$15,0)/VLOOKUP($H104,'Material impact data'!$E$19:$AM$61,4,0)*$I104</f>
        <v>0</v>
      </c>
      <c r="Z104" s="180">
        <f>VLOOKUP($H104,'Material impact data'!$E$19:$AM$61,'Material impact data'!Z$15,0)/VLOOKUP($H104,'Material impact data'!$E$19:$AM$61,4,0)*$I104</f>
        <v>0</v>
      </c>
      <c r="AA104" s="180">
        <f>VLOOKUP($H104,'Material impact data'!$E$19:$AM$61,'Material impact data'!AA$15,0)/VLOOKUP($H104,'Material impact data'!$E$19:$AM$61,4,0)*$I104</f>
        <v>0</v>
      </c>
      <c r="AB104" s="180">
        <f>VLOOKUP($H104,'Material impact data'!$E$19:$AM$61,'Material impact data'!AB$15,0)/VLOOKUP($H104,'Material impact data'!$E$19:$AM$61,4,0)*$I104</f>
        <v>0</v>
      </c>
      <c r="AC104" s="180">
        <f>VLOOKUP($H104,'Material impact data'!$E$19:$AM$61,'Material impact data'!AC$15,0)/VLOOKUP($H104,'Material impact data'!$E$19:$AM$61,4,0)*$I104</f>
        <v>0</v>
      </c>
      <c r="AD104" s="180">
        <f>VLOOKUP($H104,'Material impact data'!$E$19:$AM$61,'Material impact data'!AD$15,0)/VLOOKUP($H104,'Material impact data'!$E$19:$AM$61,4,0)*$I104</f>
        <v>0</v>
      </c>
      <c r="AE104" s="180">
        <f>VLOOKUP($H104,'Material impact data'!$E$19:$AM$61,'Material impact data'!AE$15,0)/VLOOKUP($H104,'Material impact data'!$E$19:$AM$61,4,0)*$I104</f>
        <v>0</v>
      </c>
      <c r="AF104" s="180">
        <f>VLOOKUP($H104,'Material impact data'!$E$19:$AM$61,'Material impact data'!AF$15,0)/VLOOKUP($H104,'Material impact data'!$E$19:$AM$61,4,0)*$I104</f>
        <v>0</v>
      </c>
      <c r="AG104" s="179">
        <f>VLOOKUP($H104,'Material impact data'!$E$19:$AM$61,'Material impact data'!AG$15,0)/VLOOKUP($H104,'Material impact data'!$E$19:$AM$61,4,0)*$I104</f>
        <v>0</v>
      </c>
      <c r="AH104" s="179">
        <f>VLOOKUP($H104,'Material impact data'!$E$19:$AM$61,'Material impact data'!AH$15,0)/VLOOKUP($H104,'Material impact data'!$E$19:$AM$61,4,0)*$I104</f>
        <v>0</v>
      </c>
      <c r="AI104" s="179">
        <f>VLOOKUP($H104,'Material impact data'!$E$19:$AM$61,'Material impact data'!AI$15,0)/VLOOKUP($H104,'Material impact data'!$E$19:$AM$61,4,0)*$I104</f>
        <v>0</v>
      </c>
      <c r="AJ104" s="179">
        <f>VLOOKUP($H104,'Material impact data'!$E$19:$AM$61,'Material impact data'!AJ$15,0)/VLOOKUP($H104,'Material impact data'!$E$19:$AM$61,4,0)*$I104</f>
        <v>0</v>
      </c>
      <c r="AK104" s="179">
        <f>VLOOKUP($H104,'Material impact data'!$E$19:$AM$61,'Material impact data'!AK$15,0)/VLOOKUP($H104,'Material impact data'!$E$19:$AM$61,4,0)*$I104</f>
        <v>0</v>
      </c>
      <c r="AL104" s="179">
        <f>VLOOKUP($H104,'Material impact data'!$E$19:$AM$61,'Material impact data'!AL$15,0)/VLOOKUP($H104,'Material impact data'!$E$19:$AM$61,4,0)*$I104</f>
        <v>0</v>
      </c>
      <c r="AM104" s="179">
        <f>VLOOKUP($H104,'Material impact data'!$E$19:$AM$61,'Material impact data'!AM$15,0)/VLOOKUP($H104,'Material impact data'!$E$19:$AM$61,4,0)*$I104</f>
        <v>0</v>
      </c>
      <c r="AO104" s="189">
        <f>M104/'Building &amp; Material inputs'!$C$18/'Building &amp; Material inputs'!$C$19</f>
        <v>0</v>
      </c>
      <c r="AP104" s="189">
        <f>N104/'Building &amp; Material inputs'!$C$18/'Building &amp; Material inputs'!$C$19</f>
        <v>0</v>
      </c>
      <c r="AQ104" s="141">
        <f>O104/'Building &amp; Material inputs'!$C$18/'Building &amp; Material inputs'!$C$19</f>
        <v>0</v>
      </c>
      <c r="AR104" s="141">
        <f>P104/'Building &amp; Material inputs'!$C$18/'Building &amp; Material inputs'!$C$19</f>
        <v>0</v>
      </c>
      <c r="AS104" s="188">
        <f>Q104/'Building &amp; Material inputs'!$C$18/'Building &amp; Material inputs'!$C$19</f>
        <v>0</v>
      </c>
      <c r="AT104" s="188">
        <f>R104/'Building &amp; Material inputs'!$C$18/'Building &amp; Material inputs'!$C$19</f>
        <v>0</v>
      </c>
      <c r="AU104" s="189">
        <f>S104/'Building &amp; Material inputs'!$C$18/'Building &amp; Material inputs'!$C$19</f>
        <v>0</v>
      </c>
      <c r="AV104" s="189">
        <f>T104/'Building &amp; Material inputs'!$C$18/'Building &amp; Material inputs'!$C$19</f>
        <v>0</v>
      </c>
      <c r="AW104" s="189">
        <f>U104/'Building &amp; Material inputs'!$C$18/'Building &amp; Material inputs'!$C$19</f>
        <v>0</v>
      </c>
      <c r="AX104" s="189">
        <f>V104/'Building &amp; Material inputs'!$C$18/'Building &amp; Material inputs'!$C$19</f>
        <v>0</v>
      </c>
      <c r="AY104" s="189">
        <f>W104/'Building &amp; Material inputs'!$C$18/'Building &amp; Material inputs'!$C$19</f>
        <v>0</v>
      </c>
      <c r="AZ104" s="189">
        <f>X104/'Building &amp; Material inputs'!$C$18/'Building &amp; Material inputs'!$C$19</f>
        <v>0</v>
      </c>
      <c r="BA104" s="189">
        <f>Y104/'Building &amp; Material inputs'!$C$18/'Building &amp; Material inputs'!$C$19</f>
        <v>0</v>
      </c>
      <c r="BB104" s="141">
        <f>Z104/'Building &amp; Material inputs'!$C$18/'Building &amp; Material inputs'!$C$19</f>
        <v>0</v>
      </c>
      <c r="BC104" s="141">
        <f>AA104/'Building &amp; Material inputs'!$C$18/'Building &amp; Material inputs'!$C$19</f>
        <v>0</v>
      </c>
      <c r="BD104" s="141">
        <f>AB104/'Building &amp; Material inputs'!$C$18/'Building &amp; Material inputs'!$C$19</f>
        <v>0</v>
      </c>
      <c r="BE104" s="141">
        <f>AC104/'Building &amp; Material inputs'!$C$18/'Building &amp; Material inputs'!$C$19</f>
        <v>0</v>
      </c>
      <c r="BF104" s="141">
        <f>AD104/'Building &amp; Material inputs'!$C$18/'Building &amp; Material inputs'!$C$19</f>
        <v>0</v>
      </c>
      <c r="BG104" s="141">
        <f>AE104/'Building &amp; Material inputs'!$C$18/'Building &amp; Material inputs'!$C$19</f>
        <v>0</v>
      </c>
      <c r="BH104" s="141">
        <f>AF104/'Building &amp; Material inputs'!$C$18/'Building &amp; Material inputs'!$C$19</f>
        <v>0</v>
      </c>
      <c r="BI104" s="188">
        <f>AG104/'Building &amp; Material inputs'!$C$18/'Building &amp; Material inputs'!$C$19</f>
        <v>0</v>
      </c>
      <c r="BJ104" s="188">
        <f>AH104/'Building &amp; Material inputs'!$C$18/'Building &amp; Material inputs'!$C$19</f>
        <v>0</v>
      </c>
      <c r="BK104" s="188">
        <f>AI104/'Building &amp; Material inputs'!$C$18/'Building &amp; Material inputs'!$C$19</f>
        <v>0</v>
      </c>
      <c r="BL104" s="188">
        <f>AJ104/'Building &amp; Material inputs'!$C$18/'Building &amp; Material inputs'!$C$19</f>
        <v>0</v>
      </c>
      <c r="BM104" s="188">
        <f>AK104/'Building &amp; Material inputs'!$C$18/'Building &amp; Material inputs'!$C$19</f>
        <v>0</v>
      </c>
      <c r="BN104" s="188">
        <f>AL104/'Building &amp; Material inputs'!$C$18/'Building &amp; Material inputs'!$C$19</f>
        <v>0</v>
      </c>
      <c r="BO104" s="188">
        <f>AM104/'Building &amp; Material inputs'!$C$18/'Building &amp; Material inputs'!$C$19</f>
        <v>0</v>
      </c>
    </row>
    <row r="105" spans="2:82" x14ac:dyDescent="0.25">
      <c r="B105" s="334"/>
      <c r="C105" s="305"/>
      <c r="D105" s="302"/>
      <c r="E105" s="302"/>
      <c r="F105" s="9" t="s">
        <v>196</v>
      </c>
      <c r="G105" s="7" t="s">
        <v>103</v>
      </c>
      <c r="H105" s="7" t="str">
        <f>'Material quantities'!G105</f>
        <v>MOR</v>
      </c>
      <c r="I105" s="38">
        <f>'Material quantities'!O105</f>
        <v>0</v>
      </c>
      <c r="J105" s="93" t="s">
        <v>15</v>
      </c>
      <c r="K105" s="2"/>
      <c r="L105" s="144">
        <f>VLOOKUP($H105,'Material impact data'!$E$19:$AM$61,6,0)/VLOOKUP($H105,'Material impact data'!$E$19:$AM$61,4,0)*$I105</f>
        <v>0</v>
      </c>
      <c r="M105" s="138">
        <f>VLOOKUP($H105,'Material impact data'!$E$19:$AM$61,'Material impact data'!M$15,0)/VLOOKUP($H105,'Material impact data'!$E$19:$AM$61,4,0)*$I105</f>
        <v>0</v>
      </c>
      <c r="N105" s="138">
        <f>VLOOKUP($H105,'Material impact data'!$E$19:$AM$61,'Material impact data'!N$15,0)/VLOOKUP($H105,'Material impact data'!$E$19:$AM$61,4,0)*$I105</f>
        <v>0</v>
      </c>
      <c r="O105" s="180">
        <f>VLOOKUP($H105,'Material impact data'!$E$19:$AM$61,'Material impact data'!O$15,0)/VLOOKUP($H105,'Material impact data'!$E$19:$AM$61,4,0)*$I105</f>
        <v>0</v>
      </c>
      <c r="P105" s="180">
        <f>VLOOKUP($H105,'Material impact data'!$E$19:$AM$61,'Material impact data'!P$15,0)/VLOOKUP($H105,'Material impact data'!$E$19:$AM$61,4,0)*$I105</f>
        <v>0</v>
      </c>
      <c r="Q105" s="179">
        <f>VLOOKUP($H105,'Material impact data'!$E$19:$AM$61,'Material impact data'!Q$15,0)/VLOOKUP($H105,'Material impact data'!$E$19:$AM$61,4,0)*$I105</f>
        <v>0</v>
      </c>
      <c r="R105" s="179">
        <f>VLOOKUP($H105,'Material impact data'!$E$19:$AM$61,'Material impact data'!R$15,0)/VLOOKUP($H105,'Material impact data'!$E$19:$AM$61,4,0)*$I105</f>
        <v>0</v>
      </c>
      <c r="S105" s="138">
        <f>VLOOKUP($H105,'Material impact data'!$E$19:$AM$61,'Material impact data'!S$15,0)/VLOOKUP($H105,'Material impact data'!$E$19:$AM$61,4,0)*$I105</f>
        <v>0</v>
      </c>
      <c r="T105" s="138">
        <f>VLOOKUP($H105,'Material impact data'!$E$19:$AM$61,'Material impact data'!T$15,0)/VLOOKUP($H105,'Material impact data'!$E$19:$AM$61,4,0)*$I105</f>
        <v>0</v>
      </c>
      <c r="U105" s="138">
        <f>VLOOKUP($H105,'Material impact data'!$E$19:$AM$61,'Material impact data'!U$15,0)/VLOOKUP($H105,'Material impact data'!$E$19:$AM$61,4,0)*$I105</f>
        <v>0</v>
      </c>
      <c r="V105" s="138">
        <f>VLOOKUP($H105,'Material impact data'!$E$19:$AM$61,'Material impact data'!V$15,0)/VLOOKUP($H105,'Material impact data'!$E$19:$AM$61,4,0)*$I105</f>
        <v>0</v>
      </c>
      <c r="W105" s="138">
        <f>VLOOKUP($H105,'Material impact data'!$E$19:$AM$61,'Material impact data'!W$15,0)/VLOOKUP($H105,'Material impact data'!$E$19:$AM$61,4,0)*$I105</f>
        <v>0</v>
      </c>
      <c r="X105" s="138">
        <f>VLOOKUP($H105,'Material impact data'!$E$19:$AM$61,'Material impact data'!X$15,0)/VLOOKUP($H105,'Material impact data'!$E$19:$AM$61,4,0)*$I105</f>
        <v>0</v>
      </c>
      <c r="Y105" s="138">
        <f>VLOOKUP($H105,'Material impact data'!$E$19:$AM$61,'Material impact data'!Y$15,0)/VLOOKUP($H105,'Material impact data'!$E$19:$AM$61,4,0)*$I105</f>
        <v>0</v>
      </c>
      <c r="Z105" s="180">
        <f>VLOOKUP($H105,'Material impact data'!$E$19:$AM$61,'Material impact data'!Z$15,0)/VLOOKUP($H105,'Material impact data'!$E$19:$AM$61,4,0)*$I105</f>
        <v>0</v>
      </c>
      <c r="AA105" s="180">
        <f>VLOOKUP($H105,'Material impact data'!$E$19:$AM$61,'Material impact data'!AA$15,0)/VLOOKUP($H105,'Material impact data'!$E$19:$AM$61,4,0)*$I105</f>
        <v>0</v>
      </c>
      <c r="AB105" s="180">
        <f>VLOOKUP($H105,'Material impact data'!$E$19:$AM$61,'Material impact data'!AB$15,0)/VLOOKUP($H105,'Material impact data'!$E$19:$AM$61,4,0)*$I105</f>
        <v>0</v>
      </c>
      <c r="AC105" s="180">
        <f>VLOOKUP($H105,'Material impact data'!$E$19:$AM$61,'Material impact data'!AC$15,0)/VLOOKUP($H105,'Material impact data'!$E$19:$AM$61,4,0)*$I105</f>
        <v>0</v>
      </c>
      <c r="AD105" s="180">
        <f>VLOOKUP($H105,'Material impact data'!$E$19:$AM$61,'Material impact data'!AD$15,0)/VLOOKUP($H105,'Material impact data'!$E$19:$AM$61,4,0)*$I105</f>
        <v>0</v>
      </c>
      <c r="AE105" s="180">
        <f>VLOOKUP($H105,'Material impact data'!$E$19:$AM$61,'Material impact data'!AE$15,0)/VLOOKUP($H105,'Material impact data'!$E$19:$AM$61,4,0)*$I105</f>
        <v>0</v>
      </c>
      <c r="AF105" s="180">
        <f>VLOOKUP($H105,'Material impact data'!$E$19:$AM$61,'Material impact data'!AF$15,0)/VLOOKUP($H105,'Material impact data'!$E$19:$AM$61,4,0)*$I105</f>
        <v>0</v>
      </c>
      <c r="AG105" s="179">
        <f>VLOOKUP($H105,'Material impact data'!$E$19:$AM$61,'Material impact data'!AG$15,0)/VLOOKUP($H105,'Material impact data'!$E$19:$AM$61,4,0)*$I105</f>
        <v>0</v>
      </c>
      <c r="AH105" s="179">
        <f>VLOOKUP($H105,'Material impact data'!$E$19:$AM$61,'Material impact data'!AH$15,0)/VLOOKUP($H105,'Material impact data'!$E$19:$AM$61,4,0)*$I105</f>
        <v>0</v>
      </c>
      <c r="AI105" s="179">
        <f>VLOOKUP($H105,'Material impact data'!$E$19:$AM$61,'Material impact data'!AI$15,0)/VLOOKUP($H105,'Material impact data'!$E$19:$AM$61,4,0)*$I105</f>
        <v>0</v>
      </c>
      <c r="AJ105" s="179">
        <f>VLOOKUP($H105,'Material impact data'!$E$19:$AM$61,'Material impact data'!AJ$15,0)/VLOOKUP($H105,'Material impact data'!$E$19:$AM$61,4,0)*$I105</f>
        <v>0</v>
      </c>
      <c r="AK105" s="179">
        <f>VLOOKUP($H105,'Material impact data'!$E$19:$AM$61,'Material impact data'!AK$15,0)/VLOOKUP($H105,'Material impact data'!$E$19:$AM$61,4,0)*$I105</f>
        <v>0</v>
      </c>
      <c r="AL105" s="179">
        <f>VLOOKUP($H105,'Material impact data'!$E$19:$AM$61,'Material impact data'!AL$15,0)/VLOOKUP($H105,'Material impact data'!$E$19:$AM$61,4,0)*$I105</f>
        <v>0</v>
      </c>
      <c r="AM105" s="179">
        <f>VLOOKUP($H105,'Material impact data'!$E$19:$AM$61,'Material impact data'!AM$15,0)/VLOOKUP($H105,'Material impact data'!$E$19:$AM$61,4,0)*$I105</f>
        <v>0</v>
      </c>
      <c r="AO105" s="189">
        <f>M105/'Building &amp; Material inputs'!$C$18/'Building &amp; Material inputs'!$C$19</f>
        <v>0</v>
      </c>
      <c r="AP105" s="189">
        <f>N105/'Building &amp; Material inputs'!$C$18/'Building &amp; Material inputs'!$C$19</f>
        <v>0</v>
      </c>
      <c r="AQ105" s="141">
        <f>O105/'Building &amp; Material inputs'!$C$18/'Building &amp; Material inputs'!$C$19</f>
        <v>0</v>
      </c>
      <c r="AR105" s="141">
        <f>P105/'Building &amp; Material inputs'!$C$18/'Building &amp; Material inputs'!$C$19</f>
        <v>0</v>
      </c>
      <c r="AS105" s="188">
        <f>Q105/'Building &amp; Material inputs'!$C$18/'Building &amp; Material inputs'!$C$19</f>
        <v>0</v>
      </c>
      <c r="AT105" s="188">
        <f>R105/'Building &amp; Material inputs'!$C$18/'Building &amp; Material inputs'!$C$19</f>
        <v>0</v>
      </c>
      <c r="AU105" s="189">
        <f>S105/'Building &amp; Material inputs'!$C$18/'Building &amp; Material inputs'!$C$19</f>
        <v>0</v>
      </c>
      <c r="AV105" s="189">
        <f>T105/'Building &amp; Material inputs'!$C$18/'Building &amp; Material inputs'!$C$19</f>
        <v>0</v>
      </c>
      <c r="AW105" s="189">
        <f>U105/'Building &amp; Material inputs'!$C$18/'Building &amp; Material inputs'!$C$19</f>
        <v>0</v>
      </c>
      <c r="AX105" s="189">
        <f>V105/'Building &amp; Material inputs'!$C$18/'Building &amp; Material inputs'!$C$19</f>
        <v>0</v>
      </c>
      <c r="AY105" s="189">
        <f>W105/'Building &amp; Material inputs'!$C$18/'Building &amp; Material inputs'!$C$19</f>
        <v>0</v>
      </c>
      <c r="AZ105" s="189">
        <f>X105/'Building &amp; Material inputs'!$C$18/'Building &amp; Material inputs'!$C$19</f>
        <v>0</v>
      </c>
      <c r="BA105" s="189">
        <f>Y105/'Building &amp; Material inputs'!$C$18/'Building &amp; Material inputs'!$C$19</f>
        <v>0</v>
      </c>
      <c r="BB105" s="141">
        <f>Z105/'Building &amp; Material inputs'!$C$18/'Building &amp; Material inputs'!$C$19</f>
        <v>0</v>
      </c>
      <c r="BC105" s="141">
        <f>AA105/'Building &amp; Material inputs'!$C$18/'Building &amp; Material inputs'!$C$19</f>
        <v>0</v>
      </c>
      <c r="BD105" s="141">
        <f>AB105/'Building &amp; Material inputs'!$C$18/'Building &amp; Material inputs'!$C$19</f>
        <v>0</v>
      </c>
      <c r="BE105" s="141">
        <f>AC105/'Building &amp; Material inputs'!$C$18/'Building &amp; Material inputs'!$C$19</f>
        <v>0</v>
      </c>
      <c r="BF105" s="141">
        <f>AD105/'Building &amp; Material inputs'!$C$18/'Building &amp; Material inputs'!$C$19</f>
        <v>0</v>
      </c>
      <c r="BG105" s="141">
        <f>AE105/'Building &amp; Material inputs'!$C$18/'Building &amp; Material inputs'!$C$19</f>
        <v>0</v>
      </c>
      <c r="BH105" s="141">
        <f>AF105/'Building &amp; Material inputs'!$C$18/'Building &amp; Material inputs'!$C$19</f>
        <v>0</v>
      </c>
      <c r="BI105" s="188">
        <f>AG105/'Building &amp; Material inputs'!$C$18/'Building &amp; Material inputs'!$C$19</f>
        <v>0</v>
      </c>
      <c r="BJ105" s="188">
        <f>AH105/'Building &amp; Material inputs'!$C$18/'Building &amp; Material inputs'!$C$19</f>
        <v>0</v>
      </c>
      <c r="BK105" s="188">
        <f>AI105/'Building &amp; Material inputs'!$C$18/'Building &amp; Material inputs'!$C$19</f>
        <v>0</v>
      </c>
      <c r="BL105" s="188">
        <f>AJ105/'Building &amp; Material inputs'!$C$18/'Building &amp; Material inputs'!$C$19</f>
        <v>0</v>
      </c>
      <c r="BM105" s="188">
        <f>AK105/'Building &amp; Material inputs'!$C$18/'Building &amp; Material inputs'!$C$19</f>
        <v>0</v>
      </c>
      <c r="BN105" s="188">
        <f>AL105/'Building &amp; Material inputs'!$C$18/'Building &amp; Material inputs'!$C$19</f>
        <v>0</v>
      </c>
      <c r="BO105" s="188">
        <f>AM105/'Building &amp; Material inputs'!$C$18/'Building &amp; Material inputs'!$C$19</f>
        <v>0</v>
      </c>
    </row>
    <row r="106" spans="2:82" x14ac:dyDescent="0.25">
      <c r="B106" s="334"/>
      <c r="C106" s="305"/>
      <c r="D106" s="302"/>
      <c r="E106" s="302"/>
      <c r="F106" s="9" t="s">
        <v>197</v>
      </c>
      <c r="G106" s="7" t="s">
        <v>19</v>
      </c>
      <c r="H106" s="7" t="str">
        <f>'Material quantities'!G106</f>
        <v>CON3</v>
      </c>
      <c r="I106" s="38">
        <f>'Material quantities'!O106</f>
        <v>0</v>
      </c>
      <c r="J106" s="93" t="s">
        <v>14</v>
      </c>
      <c r="K106" s="2"/>
      <c r="L106" s="144">
        <f>VLOOKUP($H106,'Material impact data'!$E$19:$AM$61,6,0)/VLOOKUP($H106,'Material impact data'!$E$19:$AM$61,4,0)*$I106</f>
        <v>0</v>
      </c>
      <c r="M106" s="138">
        <f>VLOOKUP($H106,'Material impact data'!$E$19:$AM$61,'Material impact data'!M$15,0)/VLOOKUP($H106,'Material impact data'!$E$19:$AM$61,4,0)*$I106</f>
        <v>0</v>
      </c>
      <c r="N106" s="138">
        <f>VLOOKUP($H106,'Material impact data'!$E$19:$AM$61,'Material impact data'!N$15,0)/VLOOKUP($H106,'Material impact data'!$E$19:$AM$61,4,0)*$I106</f>
        <v>0</v>
      </c>
      <c r="O106" s="180">
        <f>VLOOKUP($H106,'Material impact data'!$E$19:$AM$61,'Material impact data'!O$15,0)/VLOOKUP($H106,'Material impact data'!$E$19:$AM$61,4,0)*$I106</f>
        <v>0</v>
      </c>
      <c r="P106" s="180">
        <f>VLOOKUP($H106,'Material impact data'!$E$19:$AM$61,'Material impact data'!P$15,0)/VLOOKUP($H106,'Material impact data'!$E$19:$AM$61,4,0)*$I106</f>
        <v>0</v>
      </c>
      <c r="Q106" s="179">
        <f>VLOOKUP($H106,'Material impact data'!$E$19:$AM$61,'Material impact data'!Q$15,0)/VLOOKUP($H106,'Material impact data'!$E$19:$AM$61,4,0)*$I106</f>
        <v>0</v>
      </c>
      <c r="R106" s="179">
        <f>VLOOKUP($H106,'Material impact data'!$E$19:$AM$61,'Material impact data'!R$15,0)/VLOOKUP($H106,'Material impact data'!$E$19:$AM$61,4,0)*$I106</f>
        <v>0</v>
      </c>
      <c r="S106" s="138">
        <f>VLOOKUP($H106,'Material impact data'!$E$19:$AM$61,'Material impact data'!S$15,0)/VLOOKUP($H106,'Material impact data'!$E$19:$AM$61,4,0)*$I106</f>
        <v>0</v>
      </c>
      <c r="T106" s="138">
        <f>VLOOKUP($H106,'Material impact data'!$E$19:$AM$61,'Material impact data'!T$15,0)/VLOOKUP($H106,'Material impact data'!$E$19:$AM$61,4,0)*$I106</f>
        <v>0</v>
      </c>
      <c r="U106" s="138">
        <f>VLOOKUP($H106,'Material impact data'!$E$19:$AM$61,'Material impact data'!U$15,0)/VLOOKUP($H106,'Material impact data'!$E$19:$AM$61,4,0)*$I106</f>
        <v>0</v>
      </c>
      <c r="V106" s="138">
        <f>VLOOKUP($H106,'Material impact data'!$E$19:$AM$61,'Material impact data'!V$15,0)/VLOOKUP($H106,'Material impact data'!$E$19:$AM$61,4,0)*$I106</f>
        <v>0</v>
      </c>
      <c r="W106" s="138">
        <f>VLOOKUP($H106,'Material impact data'!$E$19:$AM$61,'Material impact data'!W$15,0)/VLOOKUP($H106,'Material impact data'!$E$19:$AM$61,4,0)*$I106</f>
        <v>0</v>
      </c>
      <c r="X106" s="138">
        <f>VLOOKUP($H106,'Material impact data'!$E$19:$AM$61,'Material impact data'!X$15,0)/VLOOKUP($H106,'Material impact data'!$E$19:$AM$61,4,0)*$I106</f>
        <v>0</v>
      </c>
      <c r="Y106" s="138">
        <f>VLOOKUP($H106,'Material impact data'!$E$19:$AM$61,'Material impact data'!Y$15,0)/VLOOKUP($H106,'Material impact data'!$E$19:$AM$61,4,0)*$I106</f>
        <v>0</v>
      </c>
      <c r="Z106" s="180">
        <f>VLOOKUP($H106,'Material impact data'!$E$19:$AM$61,'Material impact data'!Z$15,0)/VLOOKUP($H106,'Material impact data'!$E$19:$AM$61,4,0)*$I106</f>
        <v>0</v>
      </c>
      <c r="AA106" s="180">
        <f>VLOOKUP($H106,'Material impact data'!$E$19:$AM$61,'Material impact data'!AA$15,0)/VLOOKUP($H106,'Material impact data'!$E$19:$AM$61,4,0)*$I106</f>
        <v>0</v>
      </c>
      <c r="AB106" s="180">
        <f>VLOOKUP($H106,'Material impact data'!$E$19:$AM$61,'Material impact data'!AB$15,0)/VLOOKUP($H106,'Material impact data'!$E$19:$AM$61,4,0)*$I106</f>
        <v>0</v>
      </c>
      <c r="AC106" s="180">
        <f>VLOOKUP($H106,'Material impact data'!$E$19:$AM$61,'Material impact data'!AC$15,0)/VLOOKUP($H106,'Material impact data'!$E$19:$AM$61,4,0)*$I106</f>
        <v>0</v>
      </c>
      <c r="AD106" s="180">
        <f>VLOOKUP($H106,'Material impact data'!$E$19:$AM$61,'Material impact data'!AD$15,0)/VLOOKUP($H106,'Material impact data'!$E$19:$AM$61,4,0)*$I106</f>
        <v>0</v>
      </c>
      <c r="AE106" s="180">
        <f>VLOOKUP($H106,'Material impact data'!$E$19:$AM$61,'Material impact data'!AE$15,0)/VLOOKUP($H106,'Material impact data'!$E$19:$AM$61,4,0)*$I106</f>
        <v>0</v>
      </c>
      <c r="AF106" s="180">
        <f>VLOOKUP($H106,'Material impact data'!$E$19:$AM$61,'Material impact data'!AF$15,0)/VLOOKUP($H106,'Material impact data'!$E$19:$AM$61,4,0)*$I106</f>
        <v>0</v>
      </c>
      <c r="AG106" s="179">
        <f>VLOOKUP($H106,'Material impact data'!$E$19:$AM$61,'Material impact data'!AG$15,0)/VLOOKUP($H106,'Material impact data'!$E$19:$AM$61,4,0)*$I106</f>
        <v>0</v>
      </c>
      <c r="AH106" s="179">
        <f>VLOOKUP($H106,'Material impact data'!$E$19:$AM$61,'Material impact data'!AH$15,0)/VLOOKUP($H106,'Material impact data'!$E$19:$AM$61,4,0)*$I106</f>
        <v>0</v>
      </c>
      <c r="AI106" s="179">
        <f>VLOOKUP($H106,'Material impact data'!$E$19:$AM$61,'Material impact data'!AI$15,0)/VLOOKUP($H106,'Material impact data'!$E$19:$AM$61,4,0)*$I106</f>
        <v>0</v>
      </c>
      <c r="AJ106" s="179">
        <f>VLOOKUP($H106,'Material impact data'!$E$19:$AM$61,'Material impact data'!AJ$15,0)/VLOOKUP($H106,'Material impact data'!$E$19:$AM$61,4,0)*$I106</f>
        <v>0</v>
      </c>
      <c r="AK106" s="179">
        <f>VLOOKUP($H106,'Material impact data'!$E$19:$AM$61,'Material impact data'!AK$15,0)/VLOOKUP($H106,'Material impact data'!$E$19:$AM$61,4,0)*$I106</f>
        <v>0</v>
      </c>
      <c r="AL106" s="179">
        <f>VLOOKUP($H106,'Material impact data'!$E$19:$AM$61,'Material impact data'!AL$15,0)/VLOOKUP($H106,'Material impact data'!$E$19:$AM$61,4,0)*$I106</f>
        <v>0</v>
      </c>
      <c r="AM106" s="179">
        <f>VLOOKUP($H106,'Material impact data'!$E$19:$AM$61,'Material impact data'!AM$15,0)/VLOOKUP($H106,'Material impact data'!$E$19:$AM$61,4,0)*$I106</f>
        <v>0</v>
      </c>
      <c r="AO106" s="189">
        <f>M106/'Building &amp; Material inputs'!$C$18/'Building &amp; Material inputs'!$C$19</f>
        <v>0</v>
      </c>
      <c r="AP106" s="189">
        <f>N106/'Building &amp; Material inputs'!$C$18/'Building &amp; Material inputs'!$C$19</f>
        <v>0</v>
      </c>
      <c r="AQ106" s="141">
        <f>O106/'Building &amp; Material inputs'!$C$18/'Building &amp; Material inputs'!$C$19</f>
        <v>0</v>
      </c>
      <c r="AR106" s="141">
        <f>P106/'Building &amp; Material inputs'!$C$18/'Building &amp; Material inputs'!$C$19</f>
        <v>0</v>
      </c>
      <c r="AS106" s="188">
        <f>Q106/'Building &amp; Material inputs'!$C$18/'Building &amp; Material inputs'!$C$19</f>
        <v>0</v>
      </c>
      <c r="AT106" s="188">
        <f>R106/'Building &amp; Material inputs'!$C$18/'Building &amp; Material inputs'!$C$19</f>
        <v>0</v>
      </c>
      <c r="AU106" s="189">
        <f>S106/'Building &amp; Material inputs'!$C$18/'Building &amp; Material inputs'!$C$19</f>
        <v>0</v>
      </c>
      <c r="AV106" s="189">
        <f>T106/'Building &amp; Material inputs'!$C$18/'Building &amp; Material inputs'!$C$19</f>
        <v>0</v>
      </c>
      <c r="AW106" s="189">
        <f>U106/'Building &amp; Material inputs'!$C$18/'Building &amp; Material inputs'!$C$19</f>
        <v>0</v>
      </c>
      <c r="AX106" s="189">
        <f>V106/'Building &amp; Material inputs'!$C$18/'Building &amp; Material inputs'!$C$19</f>
        <v>0</v>
      </c>
      <c r="AY106" s="189">
        <f>W106/'Building &amp; Material inputs'!$C$18/'Building &amp; Material inputs'!$C$19</f>
        <v>0</v>
      </c>
      <c r="AZ106" s="189">
        <f>X106/'Building &amp; Material inputs'!$C$18/'Building &amp; Material inputs'!$C$19</f>
        <v>0</v>
      </c>
      <c r="BA106" s="189">
        <f>Y106/'Building &amp; Material inputs'!$C$18/'Building &amp; Material inputs'!$C$19</f>
        <v>0</v>
      </c>
      <c r="BB106" s="141">
        <f>Z106/'Building &amp; Material inputs'!$C$18/'Building &amp; Material inputs'!$C$19</f>
        <v>0</v>
      </c>
      <c r="BC106" s="141">
        <f>AA106/'Building &amp; Material inputs'!$C$18/'Building &amp; Material inputs'!$C$19</f>
        <v>0</v>
      </c>
      <c r="BD106" s="141">
        <f>AB106/'Building &amp; Material inputs'!$C$18/'Building &amp; Material inputs'!$C$19</f>
        <v>0</v>
      </c>
      <c r="BE106" s="141">
        <f>AC106/'Building &amp; Material inputs'!$C$18/'Building &amp; Material inputs'!$C$19</f>
        <v>0</v>
      </c>
      <c r="BF106" s="141">
        <f>AD106/'Building &amp; Material inputs'!$C$18/'Building &amp; Material inputs'!$C$19</f>
        <v>0</v>
      </c>
      <c r="BG106" s="141">
        <f>AE106/'Building &amp; Material inputs'!$C$18/'Building &amp; Material inputs'!$C$19</f>
        <v>0</v>
      </c>
      <c r="BH106" s="141">
        <f>AF106/'Building &amp; Material inputs'!$C$18/'Building &amp; Material inputs'!$C$19</f>
        <v>0</v>
      </c>
      <c r="BI106" s="188">
        <f>AG106/'Building &amp; Material inputs'!$C$18/'Building &amp; Material inputs'!$C$19</f>
        <v>0</v>
      </c>
      <c r="BJ106" s="188">
        <f>AH106/'Building &amp; Material inputs'!$C$18/'Building &amp; Material inputs'!$C$19</f>
        <v>0</v>
      </c>
      <c r="BK106" s="188">
        <f>AI106/'Building &amp; Material inputs'!$C$18/'Building &amp; Material inputs'!$C$19</f>
        <v>0</v>
      </c>
      <c r="BL106" s="188">
        <f>AJ106/'Building &amp; Material inputs'!$C$18/'Building &amp; Material inputs'!$C$19</f>
        <v>0</v>
      </c>
      <c r="BM106" s="188">
        <f>AK106/'Building &amp; Material inputs'!$C$18/'Building &amp; Material inputs'!$C$19</f>
        <v>0</v>
      </c>
      <c r="BN106" s="188">
        <f>AL106/'Building &amp; Material inputs'!$C$18/'Building &amp; Material inputs'!$C$19</f>
        <v>0</v>
      </c>
      <c r="BO106" s="188">
        <f>AM106/'Building &amp; Material inputs'!$C$18/'Building &amp; Material inputs'!$C$19</f>
        <v>0</v>
      </c>
    </row>
    <row r="107" spans="2:82" ht="15.75" thickBot="1" x14ac:dyDescent="0.3">
      <c r="B107" s="334"/>
      <c r="C107" s="305"/>
      <c r="D107" s="302"/>
      <c r="E107" s="302"/>
      <c r="F107" s="9" t="s">
        <v>198</v>
      </c>
      <c r="G107" s="7" t="s">
        <v>20</v>
      </c>
      <c r="H107" s="7" t="str">
        <f>'Material quantities'!G107</f>
        <v>REB</v>
      </c>
      <c r="I107" s="38">
        <f>'Material quantities'!O107</f>
        <v>0</v>
      </c>
      <c r="J107" s="42" t="s">
        <v>15</v>
      </c>
      <c r="K107" s="2"/>
      <c r="L107" s="144">
        <f>VLOOKUP($H107,'Material impact data'!$E$19:$AM$61,6,0)/VLOOKUP($H107,'Material impact data'!$E$19:$AM$61,4,0)*$I107</f>
        <v>0</v>
      </c>
      <c r="M107" s="138">
        <f>VLOOKUP($H107,'Material impact data'!$E$19:$AM$61,'Material impact data'!M$15,0)/VLOOKUP($H107,'Material impact data'!$E$19:$AM$61,4,0)*$I107</f>
        <v>0</v>
      </c>
      <c r="N107" s="138">
        <f>VLOOKUP($H107,'Material impact data'!$E$19:$AM$61,'Material impact data'!N$15,0)/VLOOKUP($H107,'Material impact data'!$E$19:$AM$61,4,0)*$I107</f>
        <v>0</v>
      </c>
      <c r="O107" s="180">
        <f>VLOOKUP($H107,'Material impact data'!$E$19:$AM$61,'Material impact data'!O$15,0)/VLOOKUP($H107,'Material impact data'!$E$19:$AM$61,4,0)*$I107</f>
        <v>0</v>
      </c>
      <c r="P107" s="180">
        <f>VLOOKUP($H107,'Material impact data'!$E$19:$AM$61,'Material impact data'!P$15,0)/VLOOKUP($H107,'Material impact data'!$E$19:$AM$61,4,0)*$I107</f>
        <v>0</v>
      </c>
      <c r="Q107" s="179">
        <f>VLOOKUP($H107,'Material impact data'!$E$19:$AM$61,'Material impact data'!Q$15,0)/VLOOKUP($H107,'Material impact data'!$E$19:$AM$61,4,0)*$I107</f>
        <v>0</v>
      </c>
      <c r="R107" s="179">
        <f>VLOOKUP($H107,'Material impact data'!$E$19:$AM$61,'Material impact data'!R$15,0)/VLOOKUP($H107,'Material impact data'!$E$19:$AM$61,4,0)*$I107</f>
        <v>0</v>
      </c>
      <c r="S107" s="138">
        <f>VLOOKUP($H107,'Material impact data'!$E$19:$AM$61,'Material impact data'!S$15,0)/VLOOKUP($H107,'Material impact data'!$E$19:$AM$61,4,0)*$I107</f>
        <v>0</v>
      </c>
      <c r="T107" s="138">
        <f>VLOOKUP($H107,'Material impact data'!$E$19:$AM$61,'Material impact data'!T$15,0)/VLOOKUP($H107,'Material impact data'!$E$19:$AM$61,4,0)*$I107</f>
        <v>0</v>
      </c>
      <c r="U107" s="138">
        <f>VLOOKUP($H107,'Material impact data'!$E$19:$AM$61,'Material impact data'!U$15,0)/VLOOKUP($H107,'Material impact data'!$E$19:$AM$61,4,0)*$I107</f>
        <v>0</v>
      </c>
      <c r="V107" s="138">
        <f>VLOOKUP($H107,'Material impact data'!$E$19:$AM$61,'Material impact data'!V$15,0)/VLOOKUP($H107,'Material impact data'!$E$19:$AM$61,4,0)*$I107</f>
        <v>0</v>
      </c>
      <c r="W107" s="138">
        <f>VLOOKUP($H107,'Material impact data'!$E$19:$AM$61,'Material impact data'!W$15,0)/VLOOKUP($H107,'Material impact data'!$E$19:$AM$61,4,0)*$I107</f>
        <v>0</v>
      </c>
      <c r="X107" s="138">
        <f>VLOOKUP($H107,'Material impact data'!$E$19:$AM$61,'Material impact data'!X$15,0)/VLOOKUP($H107,'Material impact data'!$E$19:$AM$61,4,0)*$I107</f>
        <v>0</v>
      </c>
      <c r="Y107" s="138">
        <f>VLOOKUP($H107,'Material impact data'!$E$19:$AM$61,'Material impact data'!Y$15,0)/VLOOKUP($H107,'Material impact data'!$E$19:$AM$61,4,0)*$I107</f>
        <v>0</v>
      </c>
      <c r="Z107" s="180">
        <f>VLOOKUP($H107,'Material impact data'!$E$19:$AM$61,'Material impact data'!Z$15,0)/VLOOKUP($H107,'Material impact data'!$E$19:$AM$61,4,0)*$I107</f>
        <v>0</v>
      </c>
      <c r="AA107" s="180">
        <f>VLOOKUP($H107,'Material impact data'!$E$19:$AM$61,'Material impact data'!AA$15,0)/VLOOKUP($H107,'Material impact data'!$E$19:$AM$61,4,0)*$I107</f>
        <v>0</v>
      </c>
      <c r="AB107" s="180">
        <f>VLOOKUP($H107,'Material impact data'!$E$19:$AM$61,'Material impact data'!AB$15,0)/VLOOKUP($H107,'Material impact data'!$E$19:$AM$61,4,0)*$I107</f>
        <v>0</v>
      </c>
      <c r="AC107" s="180">
        <f>VLOOKUP($H107,'Material impact data'!$E$19:$AM$61,'Material impact data'!AC$15,0)/VLOOKUP($H107,'Material impact data'!$E$19:$AM$61,4,0)*$I107</f>
        <v>0</v>
      </c>
      <c r="AD107" s="180">
        <f>VLOOKUP($H107,'Material impact data'!$E$19:$AM$61,'Material impact data'!AD$15,0)/VLOOKUP($H107,'Material impact data'!$E$19:$AM$61,4,0)*$I107</f>
        <v>0</v>
      </c>
      <c r="AE107" s="180">
        <f>VLOOKUP($H107,'Material impact data'!$E$19:$AM$61,'Material impact data'!AE$15,0)/VLOOKUP($H107,'Material impact data'!$E$19:$AM$61,4,0)*$I107</f>
        <v>0</v>
      </c>
      <c r="AF107" s="180">
        <f>VLOOKUP($H107,'Material impact data'!$E$19:$AM$61,'Material impact data'!AF$15,0)/VLOOKUP($H107,'Material impact data'!$E$19:$AM$61,4,0)*$I107</f>
        <v>0</v>
      </c>
      <c r="AG107" s="179">
        <f>VLOOKUP($H107,'Material impact data'!$E$19:$AM$61,'Material impact data'!AG$15,0)/VLOOKUP($H107,'Material impact data'!$E$19:$AM$61,4,0)*$I107</f>
        <v>0</v>
      </c>
      <c r="AH107" s="179">
        <f>VLOOKUP($H107,'Material impact data'!$E$19:$AM$61,'Material impact data'!AH$15,0)/VLOOKUP($H107,'Material impact data'!$E$19:$AM$61,4,0)*$I107</f>
        <v>0</v>
      </c>
      <c r="AI107" s="179">
        <f>VLOOKUP($H107,'Material impact data'!$E$19:$AM$61,'Material impact data'!AI$15,0)/VLOOKUP($H107,'Material impact data'!$E$19:$AM$61,4,0)*$I107</f>
        <v>0</v>
      </c>
      <c r="AJ107" s="179">
        <f>VLOOKUP($H107,'Material impact data'!$E$19:$AM$61,'Material impact data'!AJ$15,0)/VLOOKUP($H107,'Material impact data'!$E$19:$AM$61,4,0)*$I107</f>
        <v>0</v>
      </c>
      <c r="AK107" s="179">
        <f>VLOOKUP($H107,'Material impact data'!$E$19:$AM$61,'Material impact data'!AK$15,0)/VLOOKUP($H107,'Material impact data'!$E$19:$AM$61,4,0)*$I107</f>
        <v>0</v>
      </c>
      <c r="AL107" s="179">
        <f>VLOOKUP($H107,'Material impact data'!$E$19:$AM$61,'Material impact data'!AL$15,0)/VLOOKUP($H107,'Material impact data'!$E$19:$AM$61,4,0)*$I107</f>
        <v>0</v>
      </c>
      <c r="AM107" s="179">
        <f>VLOOKUP($H107,'Material impact data'!$E$19:$AM$61,'Material impact data'!AM$15,0)/VLOOKUP($H107,'Material impact data'!$E$19:$AM$61,4,0)*$I107</f>
        <v>0</v>
      </c>
      <c r="AO107" s="189">
        <f>M107/'Building &amp; Material inputs'!$C$18/'Building &amp; Material inputs'!$C$19</f>
        <v>0</v>
      </c>
      <c r="AP107" s="189">
        <f>N107/'Building &amp; Material inputs'!$C$18/'Building &amp; Material inputs'!$C$19</f>
        <v>0</v>
      </c>
      <c r="AQ107" s="141">
        <f>O107/'Building &amp; Material inputs'!$C$18/'Building &amp; Material inputs'!$C$19</f>
        <v>0</v>
      </c>
      <c r="AR107" s="141">
        <f>P107/'Building &amp; Material inputs'!$C$18/'Building &amp; Material inputs'!$C$19</f>
        <v>0</v>
      </c>
      <c r="AS107" s="188">
        <f>Q107/'Building &amp; Material inputs'!$C$18/'Building &amp; Material inputs'!$C$19</f>
        <v>0</v>
      </c>
      <c r="AT107" s="188">
        <f>R107/'Building &amp; Material inputs'!$C$18/'Building &amp; Material inputs'!$C$19</f>
        <v>0</v>
      </c>
      <c r="AU107" s="189">
        <f>S107/'Building &amp; Material inputs'!$C$18/'Building &amp; Material inputs'!$C$19</f>
        <v>0</v>
      </c>
      <c r="AV107" s="189">
        <f>T107/'Building &amp; Material inputs'!$C$18/'Building &amp; Material inputs'!$C$19</f>
        <v>0</v>
      </c>
      <c r="AW107" s="189">
        <f>U107/'Building &amp; Material inputs'!$C$18/'Building &amp; Material inputs'!$C$19</f>
        <v>0</v>
      </c>
      <c r="AX107" s="189">
        <f>V107/'Building &amp; Material inputs'!$C$18/'Building &amp; Material inputs'!$C$19</f>
        <v>0</v>
      </c>
      <c r="AY107" s="189">
        <f>W107/'Building &amp; Material inputs'!$C$18/'Building &amp; Material inputs'!$C$19</f>
        <v>0</v>
      </c>
      <c r="AZ107" s="189">
        <f>X107/'Building &amp; Material inputs'!$C$18/'Building &amp; Material inputs'!$C$19</f>
        <v>0</v>
      </c>
      <c r="BA107" s="189">
        <f>Y107/'Building &amp; Material inputs'!$C$18/'Building &amp; Material inputs'!$C$19</f>
        <v>0</v>
      </c>
      <c r="BB107" s="141">
        <f>Z107/'Building &amp; Material inputs'!$C$18/'Building &amp; Material inputs'!$C$19</f>
        <v>0</v>
      </c>
      <c r="BC107" s="141">
        <f>AA107/'Building &amp; Material inputs'!$C$18/'Building &amp; Material inputs'!$C$19</f>
        <v>0</v>
      </c>
      <c r="BD107" s="141">
        <f>AB107/'Building &amp; Material inputs'!$C$18/'Building &amp; Material inputs'!$C$19</f>
        <v>0</v>
      </c>
      <c r="BE107" s="141">
        <f>AC107/'Building &amp; Material inputs'!$C$18/'Building &amp; Material inputs'!$C$19</f>
        <v>0</v>
      </c>
      <c r="BF107" s="141">
        <f>AD107/'Building &amp; Material inputs'!$C$18/'Building &amp; Material inputs'!$C$19</f>
        <v>0</v>
      </c>
      <c r="BG107" s="141">
        <f>AE107/'Building &amp; Material inputs'!$C$18/'Building &amp; Material inputs'!$C$19</f>
        <v>0</v>
      </c>
      <c r="BH107" s="141">
        <f>AF107/'Building &amp; Material inputs'!$C$18/'Building &amp; Material inputs'!$C$19</f>
        <v>0</v>
      </c>
      <c r="BI107" s="188">
        <f>AG107/'Building &amp; Material inputs'!$C$18/'Building &amp; Material inputs'!$C$19</f>
        <v>0</v>
      </c>
      <c r="BJ107" s="188">
        <f>AH107/'Building &amp; Material inputs'!$C$18/'Building &amp; Material inputs'!$C$19</f>
        <v>0</v>
      </c>
      <c r="BK107" s="188">
        <f>AI107/'Building &amp; Material inputs'!$C$18/'Building &amp; Material inputs'!$C$19</f>
        <v>0</v>
      </c>
      <c r="BL107" s="188">
        <f>AJ107/'Building &amp; Material inputs'!$C$18/'Building &amp; Material inputs'!$C$19</f>
        <v>0</v>
      </c>
      <c r="BM107" s="188">
        <f>AK107/'Building &amp; Material inputs'!$C$18/'Building &amp; Material inputs'!$C$19</f>
        <v>0</v>
      </c>
      <c r="BN107" s="188">
        <f>AL107/'Building &amp; Material inputs'!$C$18/'Building &amp; Material inputs'!$C$19</f>
        <v>0</v>
      </c>
      <c r="BO107" s="188">
        <f>AM107/'Building &amp; Material inputs'!$C$18/'Building &amp; Material inputs'!$C$19</f>
        <v>0</v>
      </c>
    </row>
    <row r="108" spans="2:82" ht="15.75" thickBot="1" x14ac:dyDescent="0.3">
      <c r="B108" s="334"/>
      <c r="C108" s="306"/>
      <c r="D108" s="364" t="s">
        <v>610</v>
      </c>
      <c r="E108" s="362"/>
      <c r="F108" s="362"/>
      <c r="G108" s="362"/>
      <c r="H108" s="362"/>
      <c r="I108" s="362"/>
      <c r="J108" s="363"/>
      <c r="K108" s="128"/>
      <c r="L108" s="147">
        <f>SUM(L65:L107)</f>
        <v>49141.106065246509</v>
      </c>
      <c r="M108" s="201">
        <f>SUM(M65:M107)</f>
        <v>51512.944068830555</v>
      </c>
      <c r="N108" s="201">
        <f t="shared" ref="N108:AM108" si="5">SUM(N65:N107)</f>
        <v>422843.5578210036</v>
      </c>
      <c r="O108" s="201">
        <f t="shared" si="5"/>
        <v>348.75178002499996</v>
      </c>
      <c r="P108" s="201">
        <f t="shared" si="5"/>
        <v>13380.406890699996</v>
      </c>
      <c r="Q108" s="201">
        <f t="shared" si="5"/>
        <v>808.65044913230543</v>
      </c>
      <c r="R108" s="201">
        <f t="shared" si="5"/>
        <v>32733.14478416384</v>
      </c>
      <c r="S108" s="201">
        <f t="shared" si="5"/>
        <v>35018.236010735367</v>
      </c>
      <c r="T108" s="201">
        <f t="shared" si="5"/>
        <v>401322.57437400351</v>
      </c>
      <c r="U108" s="201">
        <f t="shared" si="5"/>
        <v>0.28073931706695532</v>
      </c>
      <c r="V108" s="201">
        <f t="shared" si="5"/>
        <v>89.496151748640415</v>
      </c>
      <c r="W108" s="201">
        <f t="shared" si="5"/>
        <v>17.219302810297979</v>
      </c>
      <c r="X108" s="201">
        <f t="shared" si="5"/>
        <v>41.317254330690687</v>
      </c>
      <c r="Y108" s="201">
        <f t="shared" si="5"/>
        <v>7.0767609389223926E-3</v>
      </c>
      <c r="Z108" s="201">
        <f t="shared" si="5"/>
        <v>1312.8326806425648</v>
      </c>
      <c r="AA108" s="201">
        <f t="shared" si="5"/>
        <v>32147.854427759819</v>
      </c>
      <c r="AB108" s="201">
        <f t="shared" si="5"/>
        <v>0.2491385769992602</v>
      </c>
      <c r="AC108" s="201">
        <f t="shared" si="5"/>
        <v>15.730558732815066</v>
      </c>
      <c r="AD108" s="201">
        <f t="shared" si="5"/>
        <v>3.1913502778230134</v>
      </c>
      <c r="AE108" s="201">
        <f t="shared" si="5"/>
        <v>2.3875157508507532</v>
      </c>
      <c r="AF108" s="201">
        <f t="shared" si="5"/>
        <v>0.7232568274324942</v>
      </c>
      <c r="AG108" s="201">
        <f t="shared" si="5"/>
        <v>716.40257954152958</v>
      </c>
      <c r="AH108" s="201">
        <f t="shared" si="5"/>
        <v>2559.608827505011</v>
      </c>
      <c r="AI108" s="201">
        <f t="shared" si="5"/>
        <v>2.9185675966064105E-3</v>
      </c>
      <c r="AJ108" s="201">
        <f t="shared" si="5"/>
        <v>1.0543235460212834</v>
      </c>
      <c r="AK108" s="201">
        <f t="shared" si="5"/>
        <v>0.24840754495789816</v>
      </c>
      <c r="AL108" s="201">
        <f t="shared" si="5"/>
        <v>5.1839022189836208E-2</v>
      </c>
      <c r="AM108" s="201">
        <f t="shared" si="5"/>
        <v>2.2667320707673798E-5</v>
      </c>
      <c r="AO108" s="201">
        <f t="shared" ref="AO108:BO108" si="6">SUM(AO65:AO107)</f>
        <v>4.0006946310057891</v>
      </c>
      <c r="AP108" s="201">
        <f t="shared" si="6"/>
        <v>32.839667429403825</v>
      </c>
      <c r="AQ108" s="201">
        <f t="shared" si="6"/>
        <v>2.7085413173734078E-2</v>
      </c>
      <c r="AR108" s="201">
        <f t="shared" si="6"/>
        <v>1.03917419157347</v>
      </c>
      <c r="AS108" s="201">
        <f t="shared" si="6"/>
        <v>6.2802923977345881E-2</v>
      </c>
      <c r="AT108" s="201">
        <f t="shared" si="6"/>
        <v>2.5421827263252452</v>
      </c>
      <c r="AU108" s="201">
        <f t="shared" si="6"/>
        <v>2.7196517560372286</v>
      </c>
      <c r="AV108" s="201">
        <f t="shared" si="6"/>
        <v>31.168264552190397</v>
      </c>
      <c r="AW108" s="201">
        <f t="shared" si="6"/>
        <v>2.1803302039993424E-5</v>
      </c>
      <c r="AX108" s="201">
        <f t="shared" si="6"/>
        <v>6.9506175635787844E-3</v>
      </c>
      <c r="AY108" s="201">
        <f t="shared" si="6"/>
        <v>1.3373177081623154E-3</v>
      </c>
      <c r="AZ108" s="201">
        <f t="shared" si="6"/>
        <v>3.2088579007992142E-3</v>
      </c>
      <c r="BA108" s="201">
        <f t="shared" si="6"/>
        <v>5.4960864701167997E-7</v>
      </c>
      <c r="BB108" s="201">
        <f t="shared" si="6"/>
        <v>0.10195966764853721</v>
      </c>
      <c r="BC108" s="201">
        <f t="shared" si="6"/>
        <v>2.4967268117241237</v>
      </c>
      <c r="BD108" s="201">
        <f t="shared" si="6"/>
        <v>1.934906624722431E-5</v>
      </c>
      <c r="BE108" s="201">
        <f t="shared" si="6"/>
        <v>1.2216960805230708E-3</v>
      </c>
      <c r="BF108" s="201">
        <f t="shared" si="6"/>
        <v>2.478526155500942E-4</v>
      </c>
      <c r="BG108" s="201">
        <f t="shared" si="6"/>
        <v>1.8542371472901156E-4</v>
      </c>
      <c r="BH108" s="201">
        <f t="shared" si="6"/>
        <v>5.6170924777298392E-5</v>
      </c>
      <c r="BI108" s="201">
        <f t="shared" si="6"/>
        <v>5.5638597354887367E-2</v>
      </c>
      <c r="BJ108" s="201">
        <f t="shared" si="6"/>
        <v>0.19878912919423827</v>
      </c>
      <c r="BK108" s="201">
        <f t="shared" si="6"/>
        <v>2.2666725664852519E-7</v>
      </c>
      <c r="BL108" s="201">
        <f t="shared" si="6"/>
        <v>8.1882847625138521E-5</v>
      </c>
      <c r="BM108" s="201">
        <f t="shared" si="6"/>
        <v>1.9292291469237191E-5</v>
      </c>
      <c r="BN108" s="201">
        <f t="shared" si="6"/>
        <v>4.0260191200556246E-6</v>
      </c>
      <c r="BO108" s="201">
        <f t="shared" si="6"/>
        <v>1.7604318660821529E-9</v>
      </c>
    </row>
    <row r="109" spans="2:82" x14ac:dyDescent="0.25">
      <c r="B109" s="334"/>
      <c r="C109" s="304" t="s">
        <v>72</v>
      </c>
      <c r="D109" s="302" t="s">
        <v>161</v>
      </c>
      <c r="E109" s="299" t="s">
        <v>163</v>
      </c>
      <c r="F109" s="59" t="s">
        <v>199</v>
      </c>
      <c r="G109" s="60" t="s">
        <v>105</v>
      </c>
      <c r="H109" s="60" t="str">
        <f>'Material quantities'!G109</f>
        <v>PLASM</v>
      </c>
      <c r="I109" s="38">
        <f>'Material quantities'!O109</f>
        <v>17972.16</v>
      </c>
      <c r="J109" s="62" t="s">
        <v>15</v>
      </c>
      <c r="K109" s="2"/>
      <c r="L109" s="148">
        <f>VLOOKUP($H109,'Material impact data'!$E$19:$AM$61,6,0)/VLOOKUP($H109,'Material impact data'!$E$19:$AM$61,4,0)*$I109</f>
        <v>26958.239999999998</v>
      </c>
      <c r="M109" s="138">
        <f>VLOOKUP($H109,'Material impact data'!$E$19:$AM$61,'Material impact data'!M$15,0)/VLOOKUP($H109,'Material impact data'!$E$19:$AM$61,4,0)*$I109</f>
        <v>14054.22912</v>
      </c>
      <c r="N109" s="138">
        <f>VLOOKUP($H109,'Material impact data'!$E$19:$AM$61,'Material impact data'!N$15,0)/VLOOKUP($H109,'Material impact data'!$E$19:$AM$61,4,0)*$I109</f>
        <v>63082.281599999995</v>
      </c>
      <c r="O109" s="180">
        <f>VLOOKUP($H109,'Material impact data'!$E$19:$AM$61,'Material impact data'!O$15,0)/VLOOKUP($H109,'Material impact data'!$E$19:$AM$61,4,0)*$I109</f>
        <v>354.05155199999996</v>
      </c>
      <c r="P109" s="180">
        <f>VLOOKUP($H109,'Material impact data'!$E$19:$AM$61,'Material impact data'!P$15,0)/VLOOKUP($H109,'Material impact data'!$E$19:$AM$61,4,0)*$I109</f>
        <v>5265.8428799999992</v>
      </c>
      <c r="Q109" s="179">
        <f>VLOOKUP($H109,'Material impact data'!$E$19:$AM$61,'Material impact data'!Q$15,0)/VLOOKUP($H109,'Material impact data'!$E$19:$AM$61,4,0)*$I109</f>
        <v>42.594019200000005</v>
      </c>
      <c r="R109" s="179">
        <f>VLOOKUP($H109,'Material impact data'!$E$19:$AM$61,'Material impact data'!R$15,0)/VLOOKUP($H109,'Material impact data'!$E$19:$AM$61,4,0)*$I109</f>
        <v>221.057568</v>
      </c>
      <c r="S109" s="138">
        <f>VLOOKUP($H109,'Material impact data'!$E$19:$AM$61,'Material impact data'!S$15,0)/VLOOKUP($H109,'Material impact data'!$E$19:$AM$61,4,0)*$I109</f>
        <v>6721.5878400000001</v>
      </c>
      <c r="T109" s="138">
        <f>VLOOKUP($H109,'Material impact data'!$E$19:$AM$61,'Material impact data'!T$15,0)/VLOOKUP($H109,'Material impact data'!$E$19:$AM$61,4,0)*$I109</f>
        <v>58050.076800000003</v>
      </c>
      <c r="U109" s="138">
        <f>VLOOKUP($H109,'Material impact data'!$E$19:$AM$61,'Material impact data'!U$15,0)/VLOOKUP($H109,'Material impact data'!$E$19:$AM$61,4,0)*$I109</f>
        <v>1.5474029759999999E-2</v>
      </c>
      <c r="V109" s="138">
        <f>VLOOKUP($H109,'Material impact data'!$E$19:$AM$61,'Material impact data'!V$15,0)/VLOOKUP($H109,'Material impact data'!$E$19:$AM$61,4,0)*$I109</f>
        <v>16.534387200000001</v>
      </c>
      <c r="W109" s="138">
        <f>VLOOKUP($H109,'Material impact data'!$E$19:$AM$61,'Material impact data'!W$15,0)/VLOOKUP($H109,'Material impact data'!$E$19:$AM$61,4,0)*$I109</f>
        <v>1.701963552</v>
      </c>
      <c r="X109" s="138">
        <f>VLOOKUP($H109,'Material impact data'!$E$19:$AM$61,'Material impact data'!X$15,0)/VLOOKUP($H109,'Material impact data'!$E$19:$AM$61,4,0)*$I109</f>
        <v>1.3784646719999998</v>
      </c>
      <c r="Y109" s="138">
        <f>VLOOKUP($H109,'Material impact data'!$E$19:$AM$61,'Material impact data'!Y$15,0)/VLOOKUP($H109,'Material impact data'!$E$19:$AM$61,4,0)*$I109</f>
        <v>4.4750678399999998E-5</v>
      </c>
      <c r="Z109" s="180">
        <f>VLOOKUP($H109,'Material impact data'!$E$19:$AM$61,'Material impact data'!Z$15,0)/VLOOKUP($H109,'Material impact data'!$E$19:$AM$61,4,0)*$I109</f>
        <v>391.79308800000001</v>
      </c>
      <c r="AA109" s="180">
        <f>VLOOKUP($H109,'Material impact data'!$E$19:$AM$61,'Material impact data'!AA$15,0)/VLOOKUP($H109,'Material impact data'!$E$19:$AM$61,4,0)*$I109</f>
        <v>5247.8707199999999</v>
      </c>
      <c r="AB109" s="180">
        <f>VLOOKUP($H109,'Material impact data'!$E$19:$AM$61,'Material impact data'!AB$15,0)/VLOOKUP($H109,'Material impact data'!$E$19:$AM$61,4,0)*$I109</f>
        <v>4.0617081599999999E-5</v>
      </c>
      <c r="AC109" s="180">
        <f>VLOOKUP($H109,'Material impact data'!$E$19:$AM$61,'Material impact data'!AC$15,0)/VLOOKUP($H109,'Material impact data'!$E$19:$AM$61,4,0)*$I109</f>
        <v>0.29833785600000001</v>
      </c>
      <c r="AD109" s="180">
        <f>VLOOKUP($H109,'Material impact data'!$E$19:$AM$61,'Material impact data'!AD$15,0)/VLOOKUP($H109,'Material impact data'!$E$19:$AM$61,4,0)*$I109</f>
        <v>6.7215878399999998E-2</v>
      </c>
      <c r="AE109" s="180">
        <f>VLOOKUP($H109,'Material impact data'!$E$19:$AM$61,'Material impact data'!AE$15,0)/VLOOKUP($H109,'Material impact data'!$E$19:$AM$61,4,0)*$I109</f>
        <v>-4.2234576000000001E-3</v>
      </c>
      <c r="AF109" s="180">
        <f>VLOOKUP($H109,'Material impact data'!$E$19:$AM$61,'Material impact data'!AF$15,0)/VLOOKUP($H109,'Material impact data'!$E$19:$AM$61,4,0)*$I109</f>
        <v>8.2312492800000015E-12</v>
      </c>
      <c r="AG109" s="179">
        <f>VLOOKUP($H109,'Material impact data'!$E$19:$AM$61,'Material impact data'!AG$15,0)/VLOOKUP($H109,'Material impact data'!$E$19:$AM$61,4,0)*$I109</f>
        <v>749.43907200000001</v>
      </c>
      <c r="AH109" s="179">
        <f>VLOOKUP($H109,'Material impact data'!$E$19:$AM$61,'Material impact data'!AH$15,0)/VLOOKUP($H109,'Material impact data'!$E$19:$AM$61,4,0)*$I109</f>
        <v>199.49097600000002</v>
      </c>
      <c r="AI109" s="179">
        <f>VLOOKUP($H109,'Material impact data'!$E$19:$AM$61,'Material impact data'!AI$15,0)/VLOOKUP($H109,'Material impact data'!$E$19:$AM$61,4,0)*$I109</f>
        <v>1.31196768E-5</v>
      </c>
      <c r="AJ109" s="179">
        <f>VLOOKUP($H109,'Material impact data'!$E$19:$AM$61,'Material impact data'!AJ$15,0)/VLOOKUP($H109,'Material impact data'!$E$19:$AM$61,4,0)*$I109</f>
        <v>9.8127993600000005E-2</v>
      </c>
      <c r="AK109" s="179">
        <f>VLOOKUP($H109,'Material impact data'!$E$19:$AM$61,'Material impact data'!AK$15,0)/VLOOKUP($H109,'Material impact data'!$E$19:$AM$61,4,0)*$I109</f>
        <v>2.1746313600000001E-2</v>
      </c>
      <c r="AL109" s="179">
        <f>VLOOKUP($H109,'Material impact data'!$E$19:$AM$61,'Material impact data'!AL$15,0)/VLOOKUP($H109,'Material impact data'!$E$19:$AM$61,4,0)*$I109</f>
        <v>6.5598384000000003E-3</v>
      </c>
      <c r="AM109" s="179">
        <f>VLOOKUP($H109,'Material impact data'!$E$19:$AM$61,'Material impact data'!AM$15,0)/VLOOKUP($H109,'Material impact data'!$E$19:$AM$61,4,0)*$I109</f>
        <v>1.0262103360000001E-11</v>
      </c>
      <c r="AO109" s="189">
        <f>M109/'Building &amp; Material inputs'!$C$18/'Building &amp; Material inputs'!$C$19</f>
        <v>1.0915058341099722</v>
      </c>
      <c r="AP109" s="189">
        <f>N109/'Building &amp; Material inputs'!$C$18/'Building &amp; Material inputs'!$C$19</f>
        <v>4.8992141658900277</v>
      </c>
      <c r="AQ109" s="141">
        <f>O109/'Building &amp; Material inputs'!$C$18/'Building &amp; Material inputs'!$C$19</f>
        <v>2.7497013979496734E-2</v>
      </c>
      <c r="AR109" s="141">
        <f>P109/'Building &amp; Material inputs'!$C$18/'Building &amp; Material inputs'!$C$19</f>
        <v>0.4089657409133271</v>
      </c>
      <c r="AS109" s="188">
        <f>Q109/'Building &amp; Material inputs'!$C$18/'Building &amp; Material inputs'!$C$19</f>
        <v>3.3080164026095065E-3</v>
      </c>
      <c r="AT109" s="188">
        <f>R109/'Building &amp; Material inputs'!$C$18/'Building &amp; Material inputs'!$C$19</f>
        <v>1.7168186393289844E-2</v>
      </c>
      <c r="AU109" s="189">
        <f>S109/'Building &amp; Material inputs'!$C$18/'Building &amp; Material inputs'!$C$19</f>
        <v>0.52202452935694321</v>
      </c>
      <c r="AV109" s="189">
        <f>T109/'Building &amp; Material inputs'!$C$18/'Building &amp; Material inputs'!$C$19</f>
        <v>4.508393662628146</v>
      </c>
      <c r="AW109" s="189">
        <f>U109/'Building &amp; Material inputs'!$C$18/'Building &amp; Material inputs'!$C$19</f>
        <v>1.201773047530289E-6</v>
      </c>
      <c r="AX109" s="189">
        <f>V109/'Building &amp; Material inputs'!$C$18/'Building &amp; Material inputs'!$C$19</f>
        <v>1.2841245107176145E-3</v>
      </c>
      <c r="AY109" s="189">
        <f>W109/'Building &amp; Material inputs'!$C$18/'Building &amp; Material inputs'!$C$19</f>
        <v>1.3218107735321529E-4</v>
      </c>
      <c r="AZ109" s="189">
        <f>X109/'Building &amp; Material inputs'!$C$18/'Building &amp; Material inputs'!$C$19</f>
        <v>1.0705690214352282E-4</v>
      </c>
      <c r="BA109" s="189">
        <f>Y109/'Building &amp; Material inputs'!$C$18/'Building &amp; Material inputs'!$C$19</f>
        <v>3.4755109040074556E-9</v>
      </c>
      <c r="BB109" s="141">
        <f>Z109/'Building &amp; Material inputs'!$C$18/'Building &amp; Material inputs'!$C$19</f>
        <v>3.0428167753960862E-2</v>
      </c>
      <c r="BC109" s="141">
        <f>AA109/'Building &amp; Material inputs'!$C$18/'Building &amp; Material inputs'!$C$19</f>
        <v>0.40756995340167756</v>
      </c>
      <c r="BD109" s="141">
        <f>AB109/'Building &amp; Material inputs'!$C$18/'Building &amp; Material inputs'!$C$19</f>
        <v>3.1544797763280525E-9</v>
      </c>
      <c r="BE109" s="141">
        <f>AC109/'Building &amp; Material inputs'!$C$18/'Building &amp; Material inputs'!$C$19</f>
        <v>2.3170072693383041E-5</v>
      </c>
      <c r="BF109" s="141">
        <f>AD109/'Building &amp; Material inputs'!$C$18/'Building &amp; Material inputs'!$C$19</f>
        <v>5.2202452935694318E-6</v>
      </c>
      <c r="BG109" s="141">
        <f>AE109/'Building &amp; Material inputs'!$C$18/'Building &amp; Material inputs'!$C$19</f>
        <v>-3.2801006523765151E-7</v>
      </c>
      <c r="BH109" s="141">
        <f>AF109/'Building &amp; Material inputs'!$C$18/'Building &amp; Material inputs'!$C$19</f>
        <v>6.3927068033550807E-16</v>
      </c>
      <c r="BI109" s="188">
        <f>AG109/'Building &amp; Material inputs'!$C$18/'Building &amp; Material inputs'!$C$19</f>
        <v>5.8204339235787515E-2</v>
      </c>
      <c r="BJ109" s="188">
        <f>AH109/'Building &amp; Material inputs'!$C$18/'Building &amp; Material inputs'!$C$19</f>
        <v>1.5493241379310347E-2</v>
      </c>
      <c r="BK109" s="188">
        <f>AI109/'Building &amp; Material inputs'!$C$18/'Building &amp; Material inputs'!$C$19</f>
        <v>1.018924883504194E-9</v>
      </c>
      <c r="BL109" s="188">
        <f>AJ109/'Building &amp; Material inputs'!$C$18/'Building &amp; Material inputs'!$C$19</f>
        <v>7.6209998136067115E-6</v>
      </c>
      <c r="BM109" s="188">
        <f>AK109/'Building &amp; Material inputs'!$C$18/'Building &amp; Material inputs'!$C$19</f>
        <v>1.6889028890959928E-6</v>
      </c>
      <c r="BN109" s="188">
        <f>AL109/'Building &amp; Material inputs'!$C$18/'Building &amp; Material inputs'!$C$19</f>
        <v>5.0946244175209694E-7</v>
      </c>
      <c r="BO109" s="188">
        <f>AM109/'Building &amp; Material inputs'!$C$18/'Building &amp; Material inputs'!$C$19</f>
        <v>7.9699466915191073E-16</v>
      </c>
    </row>
    <row r="110" spans="2:82" x14ac:dyDescent="0.25">
      <c r="B110" s="334"/>
      <c r="C110" s="305"/>
      <c r="D110" s="302"/>
      <c r="E110" s="299"/>
      <c r="F110" s="59" t="s">
        <v>200</v>
      </c>
      <c r="G110" s="60" t="s">
        <v>60</v>
      </c>
      <c r="H110" s="60" t="str">
        <f>'Material quantities'!G110</f>
        <v>CERB</v>
      </c>
      <c r="I110" s="38">
        <f>'Material quantities'!O110</f>
        <v>66309.782000000007</v>
      </c>
      <c r="J110" s="62" t="s">
        <v>15</v>
      </c>
      <c r="K110" s="2"/>
      <c r="L110" s="148">
        <f>VLOOKUP($H110,'Material impact data'!$E$19:$AM$61,6,0)/VLOOKUP($H110,'Material impact data'!$E$19:$AM$61,4,0)*$I110</f>
        <v>27850.10844</v>
      </c>
      <c r="M110" s="138">
        <f>VLOOKUP($H110,'Material impact data'!$E$19:$AM$61,'Material impact data'!M$15,0)/VLOOKUP($H110,'Material impact data'!$E$19:$AM$61,4,0)*$I110</f>
        <v>20423.412856000003</v>
      </c>
      <c r="N110" s="138">
        <f>VLOOKUP($H110,'Material impact data'!$E$19:$AM$61,'Material impact data'!N$15,0)/VLOOKUP($H110,'Material impact data'!$E$19:$AM$61,4,0)*$I110</f>
        <v>273859.39966</v>
      </c>
      <c r="O110" s="180">
        <f>VLOOKUP($H110,'Material impact data'!$E$19:$AM$61,'Material impact data'!O$15,0)/VLOOKUP($H110,'Material impact data'!$E$19:$AM$61,4,0)*$I110</f>
        <v>135.9350531</v>
      </c>
      <c r="P110" s="180">
        <f>VLOOKUP($H110,'Material impact data'!$E$19:$AM$61,'Material impact data'!P$15,0)/VLOOKUP($H110,'Material impact data'!$E$19:$AM$61,4,0)*$I110</f>
        <v>2712.0700838000002</v>
      </c>
      <c r="Q110" s="179">
        <f>VLOOKUP($H110,'Material impact data'!$E$19:$AM$61,'Material impact data'!Q$15,0)/VLOOKUP($H110,'Material impact data'!$E$19:$AM$61,4,0)*$I110</f>
        <v>63.325841810000007</v>
      </c>
      <c r="R110" s="179">
        <f>VLOOKUP($H110,'Material impact data'!$E$19:$AM$61,'Material impact data'!R$15,0)/VLOOKUP($H110,'Material impact data'!$E$19:$AM$61,4,0)*$I110</f>
        <v>663.09782000000007</v>
      </c>
      <c r="S110" s="138">
        <f>VLOOKUP($H110,'Material impact data'!$E$19:$AM$61,'Material impact data'!S$15,0)/VLOOKUP($H110,'Material impact data'!$E$19:$AM$61,4,0)*$I110</f>
        <v>20821.271548000001</v>
      </c>
      <c r="T110" s="138">
        <f>VLOOKUP($H110,'Material impact data'!$E$19:$AM$61,'Material impact data'!T$15,0)/VLOOKUP($H110,'Material impact data'!$E$19:$AM$61,4,0)*$I110</f>
        <v>247335.48686000003</v>
      </c>
      <c r="U110" s="138">
        <f>VLOOKUP($H110,'Material impact data'!$E$19:$AM$61,'Material impact data'!U$15,0)/VLOOKUP($H110,'Material impact data'!$E$19:$AM$61,4,0)*$I110</f>
        <v>1.7704711794000003E-2</v>
      </c>
      <c r="V110" s="138">
        <f>VLOOKUP($H110,'Material impact data'!$E$19:$AM$61,'Material impact data'!V$15,0)/VLOOKUP($H110,'Material impact data'!$E$19:$AM$61,4,0)*$I110</f>
        <v>66.177162436000003</v>
      </c>
      <c r="W110" s="138">
        <f>VLOOKUP($H110,'Material impact data'!$E$19:$AM$61,'Material impact data'!W$15,0)/VLOOKUP($H110,'Material impact data'!$E$19:$AM$61,4,0)*$I110</f>
        <v>13.659815092000001</v>
      </c>
      <c r="X110" s="138">
        <f>VLOOKUP($H110,'Material impact data'!$E$19:$AM$61,'Material impact data'!X$15,0)/VLOOKUP($H110,'Material impact data'!$E$19:$AM$61,4,0)*$I110</f>
        <v>3.4414776858000002</v>
      </c>
      <c r="Y110" s="138">
        <f>VLOOKUP($H110,'Material impact data'!$E$19:$AM$61,'Material impact data'!Y$15,0)/VLOOKUP($H110,'Material impact data'!$E$19:$AM$61,4,0)*$I110</f>
        <v>3.3552749692000001E-5</v>
      </c>
      <c r="Z110" s="180">
        <f>VLOOKUP($H110,'Material impact data'!$E$19:$AM$61,'Material impact data'!Z$15,0)/VLOOKUP($H110,'Material impact data'!$E$19:$AM$61,4,0)*$I110</f>
        <v>195.61385690000003</v>
      </c>
      <c r="AA110" s="180">
        <f>VLOOKUP($H110,'Material impact data'!$E$19:$AM$61,'Material impact data'!AA$15,0)/VLOOKUP($H110,'Material impact data'!$E$19:$AM$61,4,0)*$I110</f>
        <v>2705.4391055999999</v>
      </c>
      <c r="AB110" s="180">
        <f>VLOOKUP($H110,'Material impact data'!$E$19:$AM$61,'Material impact data'!AB$15,0)/VLOOKUP($H110,'Material impact data'!$E$19:$AM$61,4,0)*$I110</f>
        <v>1.5715418334000004E-5</v>
      </c>
      <c r="AC110" s="180">
        <f>VLOOKUP($H110,'Material impact data'!$E$19:$AM$61,'Material impact data'!AC$15,0)/VLOOKUP($H110,'Material impact data'!$E$19:$AM$61,4,0)*$I110</f>
        <v>0.82224129680000002</v>
      </c>
      <c r="AD110" s="180">
        <f>VLOOKUP($H110,'Material impact data'!$E$19:$AM$61,'Material impact data'!AD$15,0)/VLOOKUP($H110,'Material impact data'!$E$19:$AM$61,4,0)*$I110</f>
        <v>0.20423412856000001</v>
      </c>
      <c r="AE110" s="180">
        <f>VLOOKUP($H110,'Material impact data'!$E$19:$AM$61,'Material impact data'!AE$15,0)/VLOOKUP($H110,'Material impact data'!$E$19:$AM$61,4,0)*$I110</f>
        <v>-0.30038331246</v>
      </c>
      <c r="AF110" s="180">
        <f>VLOOKUP($H110,'Material impact data'!$E$19:$AM$61,'Material impact data'!AF$15,0)/VLOOKUP($H110,'Material impact data'!$E$19:$AM$61,4,0)*$I110</f>
        <v>6.564668418000002E-11</v>
      </c>
      <c r="AG110" s="179">
        <f>VLOOKUP($H110,'Material impact data'!$E$19:$AM$61,'Material impact data'!AG$15,0)/VLOOKUP($H110,'Material impact data'!$E$19:$AM$61,4,0)*$I110</f>
        <v>155.82798770000002</v>
      </c>
      <c r="AH110" s="179">
        <f>VLOOKUP($H110,'Material impact data'!$E$19:$AM$61,'Material impact data'!AH$15,0)/VLOOKUP($H110,'Material impact data'!$E$19:$AM$61,4,0)*$I110</f>
        <v>647.18347232000008</v>
      </c>
      <c r="AI110" s="179">
        <f>VLOOKUP($H110,'Material impact data'!$E$19:$AM$61,'Material impact data'!AI$15,0)/VLOOKUP($H110,'Material impact data'!$E$19:$AM$61,4,0)*$I110</f>
        <v>1.3460885746000002E-5</v>
      </c>
      <c r="AJ110" s="179">
        <f>VLOOKUP($H110,'Material impact data'!$E$19:$AM$61,'Material impact data'!AJ$15,0)/VLOOKUP($H110,'Material impact data'!$E$19:$AM$61,4,0)*$I110</f>
        <v>0.26457603018000003</v>
      </c>
      <c r="AK110" s="179">
        <f>VLOOKUP($H110,'Material impact data'!$E$19:$AM$61,'Material impact data'!AK$15,0)/VLOOKUP($H110,'Material impact data'!$E$19:$AM$61,4,0)*$I110</f>
        <v>4.3764456120000003E-2</v>
      </c>
      <c r="AL110" s="179">
        <f>VLOOKUP($H110,'Material impact data'!$E$19:$AM$61,'Material impact data'!AL$15,0)/VLOOKUP($H110,'Material impact data'!$E$19:$AM$61,4,0)*$I110</f>
        <v>-8.8192010060000013E-3</v>
      </c>
      <c r="AM110" s="179">
        <f>VLOOKUP($H110,'Material impact data'!$E$19:$AM$61,'Material impact data'!AM$15,0)/VLOOKUP($H110,'Material impact data'!$E$19:$AM$61,4,0)*$I110</f>
        <v>5.238472778E-11</v>
      </c>
      <c r="AO110" s="189">
        <f>M110/'Building &amp; Material inputs'!$C$18/'Building &amp; Material inputs'!$C$19</f>
        <v>1.5861612966759866</v>
      </c>
      <c r="AP110" s="189">
        <f>N110/'Building &amp; Material inputs'!$C$18/'Building &amp; Material inputs'!$C$19</f>
        <v>21.268981023609818</v>
      </c>
      <c r="AQ110" s="141">
        <f>O110/'Building &amp; Material inputs'!$C$18/'Building &amp; Material inputs'!$C$19</f>
        <v>1.0557242396707054E-2</v>
      </c>
      <c r="AR110" s="141">
        <f>P110/'Building &amp; Material inputs'!$C$18/'Building &amp; Material inputs'!$C$19</f>
        <v>0.21062986050015536</v>
      </c>
      <c r="AS110" s="188">
        <f>Q110/'Building &amp; Material inputs'!$C$18/'Building &amp; Material inputs'!$C$19</f>
        <v>4.9181299945635299E-3</v>
      </c>
      <c r="AT110" s="188">
        <f>R110/'Building &amp; Material inputs'!$C$18/'Building &amp; Material inputs'!$C$19</f>
        <v>5.1498743398570995E-2</v>
      </c>
      <c r="AU110" s="189">
        <f>S110/'Building &amp; Material inputs'!$C$18/'Building &amp; Material inputs'!$C$19</f>
        <v>1.617060542715129</v>
      </c>
      <c r="AV110" s="189">
        <f>T110/'Building &amp; Material inputs'!$C$18/'Building &amp; Material inputs'!$C$19</f>
        <v>19.209031287666981</v>
      </c>
      <c r="AW110" s="189">
        <f>U110/'Building &amp; Material inputs'!$C$18/'Building &amp; Material inputs'!$C$19</f>
        <v>1.3750164487418458E-6</v>
      </c>
      <c r="AX110" s="189">
        <f>V110/'Building &amp; Material inputs'!$C$18/'Building &amp; Material inputs'!$C$19</f>
        <v>5.1395745911773849E-3</v>
      </c>
      <c r="AY110" s="189">
        <f>W110/'Building &amp; Material inputs'!$C$18/'Building &amp; Material inputs'!$C$19</f>
        <v>1.0608741140105623E-3</v>
      </c>
      <c r="AZ110" s="189">
        <f>X110/'Building &amp; Material inputs'!$C$18/'Building &amp; Material inputs'!$C$19</f>
        <v>2.6727847823858347E-4</v>
      </c>
      <c r="BA110" s="189">
        <f>Y110/'Building &amp; Material inputs'!$C$18/'Building &amp; Material inputs'!$C$19</f>
        <v>2.6058364159676922E-9</v>
      </c>
      <c r="BB110" s="141">
        <f>Z110/'Building &amp; Material inputs'!$C$18/'Building &amp; Material inputs'!$C$19</f>
        <v>1.5192129302578444E-2</v>
      </c>
      <c r="BC110" s="141">
        <f>AA110/'Building &amp; Material inputs'!$C$18/'Building &amp; Material inputs'!$C$19</f>
        <v>0.21011487306616963</v>
      </c>
      <c r="BD110" s="141">
        <f>AB110/'Building &amp; Material inputs'!$C$18/'Building &amp; Material inputs'!$C$19</f>
        <v>1.2205202185461327E-9</v>
      </c>
      <c r="BE110" s="141">
        <f>AC110/'Building &amp; Material inputs'!$C$18/'Building &amp; Material inputs'!$C$19</f>
        <v>6.3858441814228022E-5</v>
      </c>
      <c r="BF110" s="141">
        <f>AD110/'Building &amp; Material inputs'!$C$18/'Building &amp; Material inputs'!$C$19</f>
        <v>1.5861612966759865E-5</v>
      </c>
      <c r="BG110" s="141">
        <f>AE110/'Building &amp; Material inputs'!$C$18/'Building &amp; Material inputs'!$C$19</f>
        <v>-2.332893075955266E-5</v>
      </c>
      <c r="BH110" s="141">
        <f>AF110/'Building &amp; Material inputs'!$C$18/'Building &amp; Material inputs'!$C$19</f>
        <v>5.0983755964585295E-15</v>
      </c>
      <c r="BI110" s="188">
        <f>AG110/'Building &amp; Material inputs'!$C$18/'Building &amp; Material inputs'!$C$19</f>
        <v>1.2102204698664186E-2</v>
      </c>
      <c r="BJ110" s="188">
        <f>AH110/'Building &amp; Material inputs'!$C$18/'Building &amp; Material inputs'!$C$19</f>
        <v>5.0262773557005286E-2</v>
      </c>
      <c r="BK110" s="188">
        <f>AI110/'Building &amp; Material inputs'!$C$18/'Building &amp; Material inputs'!$C$19</f>
        <v>1.0454244909909912E-9</v>
      </c>
      <c r="BL110" s="188">
        <f>AJ110/'Building &amp; Material inputs'!$C$18/'Building &amp; Material inputs'!$C$19</f>
        <v>2.0547998616029825E-5</v>
      </c>
      <c r="BM110" s="188">
        <f>AK110/'Building &amp; Material inputs'!$C$18/'Building &amp; Material inputs'!$C$19</f>
        <v>3.3989170643056855E-6</v>
      </c>
      <c r="BN110" s="188">
        <f>AL110/'Building &amp; Material inputs'!$C$18/'Building &amp; Material inputs'!$C$19</f>
        <v>-6.8493328720099419E-7</v>
      </c>
      <c r="BO110" s="188">
        <f>AM110/'Building &amp; Material inputs'!$C$18/'Building &amp; Material inputs'!$C$19</f>
        <v>4.0684007284871086E-15</v>
      </c>
    </row>
    <row r="111" spans="2:82" ht="15.75" thickBot="1" x14ac:dyDescent="0.3">
      <c r="B111" s="334"/>
      <c r="C111" s="305"/>
      <c r="D111" s="302"/>
      <c r="E111" s="299"/>
      <c r="F111" s="59" t="s">
        <v>201</v>
      </c>
      <c r="G111" s="78" t="s">
        <v>57</v>
      </c>
      <c r="H111" s="60" t="str">
        <f>'Material quantities'!G111</f>
        <v>MWOOL</v>
      </c>
      <c r="I111" s="38">
        <f>'Material quantities'!O111</f>
        <v>26.209400000000002</v>
      </c>
      <c r="J111" s="62" t="s">
        <v>14</v>
      </c>
      <c r="K111" s="2"/>
      <c r="L111" s="148">
        <f>VLOOKUP($H111,'Material impact data'!$E$19:$AM$61,6,0)/VLOOKUP($H111,'Material impact data'!$E$19:$AM$61,4,0)*$I111</f>
        <v>2529.2071000000001</v>
      </c>
      <c r="M111" s="138">
        <f>VLOOKUP($H111,'Material impact data'!$E$19:$AM$61,'Material impact data'!M$15,0)/VLOOKUP($H111,'Material impact data'!$E$19:$AM$61,4,0)*$I111</f>
        <v>11503.30566</v>
      </c>
      <c r="N111" s="138">
        <f>VLOOKUP($H111,'Material impact data'!$E$19:$AM$61,'Material impact data'!N$15,0)/VLOOKUP($H111,'Material impact data'!$E$19:$AM$61,4,0)*$I111</f>
        <v>55013.530600000006</v>
      </c>
      <c r="O111" s="180">
        <f>VLOOKUP($H111,'Material impact data'!$E$19:$AM$61,'Material impact data'!O$15,0)/VLOOKUP($H111,'Material impact data'!$E$19:$AM$61,4,0)*$I111</f>
        <v>66.493247800000006</v>
      </c>
      <c r="P111" s="180">
        <f>VLOOKUP($H111,'Material impact data'!$E$19:$AM$61,'Material impact data'!P$15,0)/VLOOKUP($H111,'Material impact data'!$E$19:$AM$61,4,0)*$I111</f>
        <v>1154.5240699999999</v>
      </c>
      <c r="Q111" s="179">
        <f>VLOOKUP($H111,'Material impact data'!$E$19:$AM$61,'Material impact data'!Q$15,0)/VLOOKUP($H111,'Material impact data'!$E$19:$AM$61,4,0)*$I111</f>
        <v>250.16872300000003</v>
      </c>
      <c r="R111" s="179">
        <f>VLOOKUP($H111,'Material impact data'!$E$19:$AM$61,'Material impact data'!R$15,0)/VLOOKUP($H111,'Material impact data'!$E$19:$AM$61,4,0)*$I111</f>
        <v>1230.7934240000002</v>
      </c>
      <c r="S111" s="138">
        <f>VLOOKUP($H111,'Material impact data'!$E$19:$AM$61,'Material impact data'!S$15,0)/VLOOKUP($H111,'Material impact data'!$E$19:$AM$61,4,0)*$I111</f>
        <v>4544.7099600000001</v>
      </c>
      <c r="T111" s="138">
        <f>VLOOKUP($H111,'Material impact data'!$E$19:$AM$61,'Material impact data'!T$15,0)/VLOOKUP($H111,'Material impact data'!$E$19:$AM$61,4,0)*$I111</f>
        <v>51920.821400000008</v>
      </c>
      <c r="U111" s="138">
        <f>VLOOKUP($H111,'Material impact data'!$E$19:$AM$61,'Material impact data'!U$15,0)/VLOOKUP($H111,'Material impact data'!$E$19:$AM$61,4,0)*$I111</f>
        <v>1.003033738E-3</v>
      </c>
      <c r="V111" s="138">
        <f>VLOOKUP($H111,'Material impact data'!$E$19:$AM$61,'Material impact data'!V$15,0)/VLOOKUP($H111,'Material impact data'!$E$19:$AM$61,4,0)*$I111</f>
        <v>26.602540999999999</v>
      </c>
      <c r="W111" s="138">
        <f>VLOOKUP($H111,'Material impact data'!$E$19:$AM$61,'Material impact data'!W$15,0)/VLOOKUP($H111,'Material impact data'!$E$19:$AM$61,4,0)*$I111</f>
        <v>3.6457275400000002</v>
      </c>
      <c r="X111" s="138">
        <f>VLOOKUP($H111,'Material impact data'!$E$19:$AM$61,'Material impact data'!X$15,0)/VLOOKUP($H111,'Material impact data'!$E$19:$AM$61,4,0)*$I111</f>
        <v>1.5715156240000001</v>
      </c>
      <c r="Y111" s="138">
        <f>VLOOKUP($H111,'Material impact data'!$E$19:$AM$61,'Material impact data'!Y$15,0)/VLOOKUP($H111,'Material impact data'!$E$19:$AM$61,4,0)*$I111</f>
        <v>1.4567184520000001E-8</v>
      </c>
      <c r="Z111" s="180">
        <f>VLOOKUP($H111,'Material impact data'!$E$19:$AM$61,'Material impact data'!Z$15,0)/VLOOKUP($H111,'Material impact data'!$E$19:$AM$61,4,0)*$I111</f>
        <v>84.918456000000006</v>
      </c>
      <c r="AA111" s="180">
        <f>VLOOKUP($H111,'Material impact data'!$E$19:$AM$61,'Material impact data'!AA$15,0)/VLOOKUP($H111,'Material impact data'!$E$19:$AM$61,4,0)*$I111</f>
        <v>1142.7298400000002</v>
      </c>
      <c r="AB111" s="180">
        <f>VLOOKUP($H111,'Material impact data'!$E$19:$AM$61,'Material impact data'!AB$15,0)/VLOOKUP($H111,'Material impact data'!$E$19:$AM$61,4,0)*$I111</f>
        <v>6.9821841600000008E-6</v>
      </c>
      <c r="AC111" s="180">
        <f>VLOOKUP($H111,'Material impact data'!$E$19:$AM$61,'Material impact data'!AC$15,0)/VLOOKUP($H111,'Material impact data'!$E$19:$AM$61,4,0)*$I111</f>
        <v>0.12559544480000001</v>
      </c>
      <c r="AD111" s="180">
        <f>VLOOKUP($H111,'Material impact data'!$E$19:$AM$61,'Material impact data'!AD$15,0)/VLOOKUP($H111,'Material impact data'!$E$19:$AM$61,4,0)*$I111</f>
        <v>2.7362613600000002E-2</v>
      </c>
      <c r="AE111" s="180">
        <f>VLOOKUP($H111,'Material impact data'!$E$19:$AM$61,'Material impact data'!AE$15,0)/VLOOKUP($H111,'Material impact data'!$E$19:$AM$61,4,0)*$I111</f>
        <v>-2.8175105000000002E-2</v>
      </c>
      <c r="AF111" s="180">
        <f>VLOOKUP($H111,'Material impact data'!$E$19:$AM$61,'Material impact data'!AF$15,0)/VLOOKUP($H111,'Material impact data'!$E$19:$AM$61,4,0)*$I111</f>
        <v>2.1085462300000001E-14</v>
      </c>
      <c r="AG111" s="179">
        <f>VLOOKUP($H111,'Material impact data'!$E$19:$AM$61,'Material impact data'!AG$15,0)/VLOOKUP($H111,'Material impact data'!$E$19:$AM$61,4,0)*$I111</f>
        <v>580.27611600000012</v>
      </c>
      <c r="AH111" s="179">
        <f>VLOOKUP($H111,'Material impact data'!$E$19:$AM$61,'Material impact data'!AH$15,0)/VLOOKUP($H111,'Material impact data'!$E$19:$AM$61,4,0)*$I111</f>
        <v>1155.048258</v>
      </c>
      <c r="AI111" s="179">
        <f>VLOOKUP($H111,'Material impact data'!$E$19:$AM$61,'Material impact data'!AI$15,0)/VLOOKUP($H111,'Material impact data'!$E$19:$AM$61,4,0)*$I111</f>
        <v>2.1158848620000002E-5</v>
      </c>
      <c r="AJ111" s="179">
        <f>VLOOKUP($H111,'Material impact data'!$E$19:$AM$61,'Material impact data'!AJ$15,0)/VLOOKUP($H111,'Material impact data'!$E$19:$AM$61,4,0)*$I111</f>
        <v>0.58158658600000013</v>
      </c>
      <c r="AK111" s="179">
        <f>VLOOKUP($H111,'Material impact data'!$E$19:$AM$61,'Material impact data'!AK$15,0)/VLOOKUP($H111,'Material impact data'!$E$19:$AM$61,4,0)*$I111</f>
        <v>8.2926541600000014E-2</v>
      </c>
      <c r="AL111" s="179">
        <f>VLOOKUP($H111,'Material impact data'!$E$19:$AM$61,'Material impact data'!AL$15,0)/VLOOKUP($H111,'Material impact data'!$E$19:$AM$61,4,0)*$I111</f>
        <v>3.4832292600000009E-2</v>
      </c>
      <c r="AM111" s="179">
        <f>VLOOKUP($H111,'Material impact data'!$E$19:$AM$61,'Material impact data'!AM$15,0)/VLOOKUP($H111,'Material impact data'!$E$19:$AM$61,4,0)*$I111</f>
        <v>2.9144852799999999E-10</v>
      </c>
      <c r="AO111" s="189">
        <f>M111/'Building &amp; Material inputs'!$C$18/'Building &amp; Material inputs'!$C$19</f>
        <v>0.89339124417520976</v>
      </c>
      <c r="AP111" s="189">
        <f>N111/'Building &amp; Material inputs'!$C$18/'Building &amp; Material inputs'!$C$19</f>
        <v>4.2725637309723519</v>
      </c>
      <c r="AQ111" s="141">
        <f>O111/'Building &amp; Material inputs'!$C$18/'Building &amp; Material inputs'!$C$19</f>
        <v>5.1641230040385226E-3</v>
      </c>
      <c r="AR111" s="141">
        <f>P111/'Building &amp; Material inputs'!$C$18/'Building &amp; Material inputs'!$C$19</f>
        <v>8.966480817023921E-2</v>
      </c>
      <c r="AS111" s="188">
        <f>Q111/'Building &amp; Material inputs'!$C$18/'Building &amp; Material inputs'!$C$19</f>
        <v>1.942907137309724E-2</v>
      </c>
      <c r="AT111" s="188">
        <f>R111/'Building &amp; Material inputs'!$C$18/'Building &amp; Material inputs'!$C$19</f>
        <v>9.5588181422802135E-2</v>
      </c>
      <c r="AU111" s="189">
        <f>S111/'Building &amp; Material inputs'!$C$18/'Building &amp; Material inputs'!$C$19</f>
        <v>0.35295976700838771</v>
      </c>
      <c r="AV111" s="189">
        <f>T111/'Building &amp; Material inputs'!$C$18/'Building &amp; Material inputs'!$C$19</f>
        <v>4.032371963342654</v>
      </c>
      <c r="AW111" s="189">
        <f>U111/'Building &amp; Material inputs'!$C$18/'Building &amp; Material inputs'!$C$19</f>
        <v>7.789948260329296E-8</v>
      </c>
      <c r="AX111" s="189">
        <f>V111/'Building &amp; Material inputs'!$C$18/'Building &amp; Material inputs'!$C$19</f>
        <v>2.0660563063063064E-3</v>
      </c>
      <c r="AY111" s="189">
        <f>W111/'Building &amp; Material inputs'!$C$18/'Building &amp; Material inputs'!$C$19</f>
        <v>2.8314131251941599E-4</v>
      </c>
      <c r="AZ111" s="189">
        <f>X111/'Building &amp; Material inputs'!$C$18/'Building &amp; Material inputs'!$C$19</f>
        <v>1.2204998633115875E-4</v>
      </c>
      <c r="BA111" s="189">
        <f>Y111/'Building &amp; Material inputs'!$C$18/'Building &amp; Material inputs'!$C$19</f>
        <v>1.1313439360049706E-12</v>
      </c>
      <c r="BB111" s="141">
        <f>Z111/'Building &amp; Material inputs'!$C$18/'Building &amp; Material inputs'!$C$19</f>
        <v>6.5950959925442695E-3</v>
      </c>
      <c r="BC111" s="141">
        <f>AA111/'Building &amp; Material inputs'!$C$18/'Building &amp; Material inputs'!$C$19</f>
        <v>8.8748822615719189E-2</v>
      </c>
      <c r="BD111" s="141">
        <f>AB111/'Building &amp; Material inputs'!$C$18/'Building &amp; Material inputs'!$C$19</f>
        <v>5.4226344827586217E-10</v>
      </c>
      <c r="BE111" s="141">
        <f>AC111/'Building &amp; Material inputs'!$C$18/'Building &amp; Material inputs'!$C$19</f>
        <v>9.7542283939111547E-6</v>
      </c>
      <c r="BF111" s="141">
        <f>AD111/'Building &amp; Material inputs'!$C$18/'Building &amp; Material inputs'!$C$19</f>
        <v>2.1250864864864867E-6</v>
      </c>
      <c r="BG111" s="141">
        <f>AE111/'Building &amp; Material inputs'!$C$18/'Building &amp; Material inputs'!$C$19</f>
        <v>-2.1881877135756447E-6</v>
      </c>
      <c r="BH111" s="141">
        <f>AF111/'Building &amp; Material inputs'!$C$18/'Building &amp; Material inputs'!$C$19</f>
        <v>1.6375786191363781E-18</v>
      </c>
      <c r="BI111" s="188">
        <f>AG111/'Building &amp; Material inputs'!$C$18/'Building &amp; Material inputs'!$C$19</f>
        <v>4.5066489282385852E-2</v>
      </c>
      <c r="BJ111" s="188">
        <f>AH111/'Building &amp; Material inputs'!$C$18/'Building &amp; Material inputs'!$C$19</f>
        <v>8.9705518639328991E-2</v>
      </c>
      <c r="BK111" s="188">
        <f>AI111/'Building &amp; Material inputs'!$C$18/'Building &amp; Material inputs'!$C$19</f>
        <v>1.6432780848089471E-9</v>
      </c>
      <c r="BL111" s="188">
        <f>AJ111/'Building &amp; Material inputs'!$C$18/'Building &amp; Material inputs'!$C$19</f>
        <v>4.5168265455110291E-5</v>
      </c>
      <c r="BM111" s="188">
        <f>AK111/'Building &amp; Material inputs'!$C$18/'Building &amp; Material inputs'!$C$19</f>
        <v>6.4403962100031084E-6</v>
      </c>
      <c r="BN111" s="188">
        <f>AL111/'Building &amp; Material inputs'!$C$18/'Building &amp; Material inputs'!$C$19</f>
        <v>2.7052106710158444E-6</v>
      </c>
      <c r="BO111" s="188">
        <f>AM111/'Building &amp; Material inputs'!$C$18/'Building &amp; Material inputs'!$C$19</f>
        <v>2.2635020813917367E-14</v>
      </c>
    </row>
    <row r="112" spans="2:82" ht="15.75" thickBot="1" x14ac:dyDescent="0.3">
      <c r="B112" s="334"/>
      <c r="C112" s="305"/>
      <c r="D112" s="302"/>
      <c r="E112" s="299"/>
      <c r="F112" s="59" t="s">
        <v>202</v>
      </c>
      <c r="G112" s="60" t="s">
        <v>61</v>
      </c>
      <c r="H112" s="60" t="str">
        <f>'Material quantities'!G112</f>
        <v>GYP_P</v>
      </c>
      <c r="I112" s="38">
        <f>'Material quantities'!O112</f>
        <v>374.42</v>
      </c>
      <c r="J112" s="62" t="s">
        <v>332</v>
      </c>
      <c r="K112" s="2"/>
      <c r="L112" s="148">
        <f>VLOOKUP($H112,'Material impact data'!$E$19:$AM$61,6,0)/VLOOKUP($H112,'Material impact data'!$E$19:$AM$61,4,0)*$I112</f>
        <v>13816.098</v>
      </c>
      <c r="M112" s="138">
        <f>VLOOKUP($H112,'Material impact data'!$E$19:$AM$61,'Material impact data'!M$15,0)/VLOOKUP($H112,'Material impact data'!$E$19:$AM$61,4,0)*$I112</f>
        <v>1411.5634</v>
      </c>
      <c r="N112" s="138">
        <f>VLOOKUP($H112,'Material impact data'!$E$19:$AM$61,'Material impact data'!N$15,0)/VLOOKUP($H112,'Material impact data'!$E$19:$AM$61,4,0)*$I112</f>
        <v>16549.364000000001</v>
      </c>
      <c r="O112" s="180">
        <f>VLOOKUP($H112,'Material impact data'!$E$19:$AM$61,'Material impact data'!O$15,0)/VLOOKUP($H112,'Material impact data'!$E$19:$AM$61,4,0)*$I112</f>
        <v>6.3651400000000011</v>
      </c>
      <c r="P112" s="180">
        <f>VLOOKUP($H112,'Material impact data'!$E$19:$AM$61,'Material impact data'!P$15,0)/VLOOKUP($H112,'Material impact data'!$E$19:$AM$61,4,0)*$I112</f>
        <v>2429.9858000000004</v>
      </c>
      <c r="Q112" s="179">
        <f>VLOOKUP($H112,'Material impact data'!$E$19:$AM$61,'Material impact data'!Q$15,0)/VLOOKUP($H112,'Material impact data'!$E$19:$AM$61,4,0)*$I112</f>
        <v>212.67055999999999</v>
      </c>
      <c r="R112" s="179">
        <f>VLOOKUP($H112,'Material impact data'!$E$19:$AM$61,'Material impact data'!R$15,0)/VLOOKUP($H112,'Material impact data'!$E$19:$AM$61,4,0)*$I112</f>
        <v>1127.0041999999999</v>
      </c>
      <c r="S112" s="138">
        <f>VLOOKUP($H112,'Material impact data'!$E$19:$AM$61,'Material impact data'!S$15,0)/VLOOKUP($H112,'Material impact data'!$E$19:$AM$61,4,0)*$I112</f>
        <v>812.4914</v>
      </c>
      <c r="T112" s="138">
        <f>VLOOKUP($H112,'Material impact data'!$E$19:$AM$61,'Material impact data'!T$15,0)/VLOOKUP($H112,'Material impact data'!$E$19:$AM$61,4,0)*$I112</f>
        <v>14377.728000000001</v>
      </c>
      <c r="U112" s="138">
        <f>VLOOKUP($H112,'Material impact data'!$E$19:$AM$61,'Material impact data'!U$15,0)/VLOOKUP($H112,'Material impact data'!$E$19:$AM$61,4,0)*$I112</f>
        <v>2.2577526000000002E-4</v>
      </c>
      <c r="V112" s="138">
        <f>VLOOKUP($H112,'Material impact data'!$E$19:$AM$61,'Material impact data'!V$15,0)/VLOOKUP($H112,'Material impact data'!$E$19:$AM$61,4,0)*$I112</f>
        <v>1.666169</v>
      </c>
      <c r="W112" s="138">
        <f>VLOOKUP($H112,'Material impact data'!$E$19:$AM$61,'Material impact data'!W$15,0)/VLOOKUP($H112,'Material impact data'!$E$19:$AM$61,4,0)*$I112</f>
        <v>1.1607020000000001E-2</v>
      </c>
      <c r="X112" s="138">
        <f>VLOOKUP($H112,'Material impact data'!$E$19:$AM$61,'Material impact data'!X$15,0)/VLOOKUP($H112,'Material impact data'!$E$19:$AM$61,4,0)*$I112</f>
        <v>2.3176598000000004</v>
      </c>
      <c r="Y112" s="138">
        <f>VLOOKUP($H112,'Material impact data'!$E$19:$AM$61,'Material impact data'!Y$15,0)/VLOOKUP($H112,'Material impact data'!$E$19:$AM$61,4,0)*$I112</f>
        <v>4.7925760000000005E-5</v>
      </c>
      <c r="Z112" s="180">
        <f>VLOOKUP($H112,'Material impact data'!$E$19:$AM$61,'Material impact data'!Z$15,0)/VLOOKUP($H112,'Material impact data'!$E$19:$AM$61,4,0)*$I112</f>
        <v>183.09138000000002</v>
      </c>
      <c r="AA112" s="180">
        <f>VLOOKUP($H112,'Material impact data'!$E$19:$AM$61,'Material impact data'!AA$15,0)/VLOOKUP($H112,'Material impact data'!$E$19:$AM$61,4,0)*$I112</f>
        <v>2415.009</v>
      </c>
      <c r="AB112" s="180">
        <f>VLOOKUP($H112,'Material impact data'!$E$19:$AM$61,'Material impact data'!AB$15,0)/VLOOKUP($H112,'Material impact data'!$E$19:$AM$61,4,0)*$I112</f>
        <v>6.2902560000000011E-6</v>
      </c>
      <c r="AC112" s="180">
        <f>VLOOKUP($H112,'Material impact data'!$E$19:$AM$61,'Material impact data'!AC$15,0)/VLOOKUP($H112,'Material impact data'!$E$19:$AM$61,4,0)*$I112</f>
        <v>0.50921120000000009</v>
      </c>
      <c r="AD112" s="180">
        <f>VLOOKUP($H112,'Material impact data'!$E$19:$AM$61,'Material impact data'!AD$15,0)/VLOOKUP($H112,'Material impact data'!$E$19:$AM$61,4,0)*$I112</f>
        <v>1.4340286E-4</v>
      </c>
      <c r="AE112" s="180">
        <f>VLOOKUP($H112,'Material impact data'!$E$19:$AM$61,'Material impact data'!AE$15,0)/VLOOKUP($H112,'Material impact data'!$E$19:$AM$61,4,0)*$I112</f>
        <v>0.79002620000000001</v>
      </c>
      <c r="AF112" s="180">
        <f>VLOOKUP($H112,'Material impact data'!$E$19:$AM$61,'Material impact data'!AF$15,0)/VLOOKUP($H112,'Material impact data'!$E$19:$AM$61,4,0)*$I112</f>
        <v>3.93141E-6</v>
      </c>
      <c r="AG112" s="179">
        <f>VLOOKUP($H112,'Material impact data'!$E$19:$AM$61,'Material impact data'!AG$15,0)/VLOOKUP($H112,'Material impact data'!$E$19:$AM$61,4,0)*$I112</f>
        <v>90.235219999999998</v>
      </c>
      <c r="AH112" s="179">
        <f>VLOOKUP($H112,'Material impact data'!$E$19:$AM$61,'Material impact data'!AH$15,0)/VLOOKUP($H112,'Material impact data'!$E$19:$AM$61,4,0)*$I112</f>
        <v>999.70140000000004</v>
      </c>
      <c r="AI112" s="179">
        <f>VLOOKUP($H112,'Material impact data'!$E$19:$AM$61,'Material impact data'!AI$15,0)/VLOOKUP($H112,'Material impact data'!$E$19:$AM$61,4,0)*$I112</f>
        <v>9.3230580000000007E-6</v>
      </c>
      <c r="AJ112" s="179">
        <f>VLOOKUP($H112,'Material impact data'!$E$19:$AM$61,'Material impact data'!AJ$15,0)/VLOOKUP($H112,'Material impact data'!$E$19:$AM$61,4,0)*$I112</f>
        <v>0.2321404</v>
      </c>
      <c r="AK112" s="179">
        <f>VLOOKUP($H112,'Material impact data'!$E$19:$AM$61,'Material impact data'!AK$15,0)/VLOOKUP($H112,'Material impact data'!$E$19:$AM$61,4,0)*$I112</f>
        <v>1.0670969999999999E-3</v>
      </c>
      <c r="AL112" s="179">
        <f>VLOOKUP($H112,'Material impact data'!$E$19:$AM$61,'Material impact data'!AL$15,0)/VLOOKUP($H112,'Material impact data'!$E$19:$AM$61,4,0)*$I112</f>
        <v>0.33585474000000004</v>
      </c>
      <c r="AM112" s="179">
        <f>VLOOKUP($H112,'Material impact data'!$E$19:$AM$61,'Material impact data'!AM$15,0)/VLOOKUP($H112,'Material impact data'!$E$19:$AM$61,4,0)*$I112</f>
        <v>2.4824045999999999E-6</v>
      </c>
      <c r="AO112" s="189">
        <f>M112/'Building &amp; Material inputs'!$C$18/'Building &amp; Material inputs'!$C$19</f>
        <v>0.10962747747747749</v>
      </c>
      <c r="AP112" s="189">
        <f>N112/'Building &amp; Material inputs'!$C$18/'Building &amp; Material inputs'!$C$19</f>
        <v>1.2852876669773223</v>
      </c>
      <c r="AQ112" s="141">
        <f>O112/'Building &amp; Material inputs'!$C$18/'Building &amp; Material inputs'!$C$19</f>
        <v>4.9434141037589324E-4</v>
      </c>
      <c r="AR112" s="141">
        <f>P112/'Building &amp; Material inputs'!$C$18/'Building &amp; Material inputs'!$C$19</f>
        <v>0.18872210313762042</v>
      </c>
      <c r="AS112" s="188">
        <f>Q112/'Building &amp; Material inputs'!$C$18/'Building &amp; Material inputs'!$C$19</f>
        <v>1.651681888785337E-2</v>
      </c>
      <c r="AT112" s="188">
        <f>R112/'Building &amp; Material inputs'!$C$18/'Building &amp; Material inputs'!$C$19</f>
        <v>8.7527508543025781E-2</v>
      </c>
      <c r="AU112" s="189">
        <f>S112/'Building &amp; Material inputs'!$C$18/'Building &amp; Material inputs'!$C$19</f>
        <v>6.3101227089158135E-2</v>
      </c>
      <c r="AV112" s="189">
        <f>T112/'Building &amp; Material inputs'!$C$18/'Building &amp; Material inputs'!$C$19</f>
        <v>1.1166300093196646</v>
      </c>
      <c r="AW112" s="189">
        <f>U112/'Building &amp; Material inputs'!$C$18/'Building &amp; Material inputs'!$C$19</f>
        <v>1.7534580615097859E-8</v>
      </c>
      <c r="AX112" s="189">
        <f>V112/'Building &amp; Material inputs'!$C$18/'Building &amp; Material inputs'!$C$19</f>
        <v>1.2940113389251322E-4</v>
      </c>
      <c r="AY112" s="189">
        <f>W112/'Building &amp; Material inputs'!$C$18/'Building &amp; Material inputs'!$C$19</f>
        <v>9.0144610127368757E-7</v>
      </c>
      <c r="AZ112" s="189">
        <f>X112/'Building &amp; Material inputs'!$C$18/'Building &amp; Material inputs'!$C$19</f>
        <v>1.7999843118981056E-4</v>
      </c>
      <c r="BA112" s="189">
        <f>Y112/'Building &amp; Material inputs'!$C$18/'Building &amp; Material inputs'!$C$19</f>
        <v>3.7221000310655486E-9</v>
      </c>
      <c r="BB112" s="141">
        <f>Z112/'Building &amp; Material inputs'!$C$18/'Building &amp; Material inputs'!$C$19</f>
        <v>1.4219585274930105E-2</v>
      </c>
      <c r="BC112" s="141">
        <f>AA112/'Building &amp; Material inputs'!$C$18/'Building &amp; Material inputs'!$C$19</f>
        <v>0.18755894687791241</v>
      </c>
      <c r="BD112" s="141">
        <f>AB112/'Building &amp; Material inputs'!$C$18/'Building &amp; Material inputs'!$C$19</f>
        <v>4.8852562907735327E-10</v>
      </c>
      <c r="BE112" s="141">
        <f>AC112/'Building &amp; Material inputs'!$C$18/'Building &amp; Material inputs'!$C$19</f>
        <v>3.9547312830071458E-5</v>
      </c>
      <c r="BF112" s="141">
        <f>AD112/'Building &amp; Material inputs'!$C$18/'Building &amp; Material inputs'!$C$19</f>
        <v>1.1137221186703945E-8</v>
      </c>
      <c r="BG112" s="141">
        <f>AE112/'Building &amp; Material inputs'!$C$18/'Building &amp; Material inputs'!$C$19</f>
        <v>6.1356492699596156E-5</v>
      </c>
      <c r="BH112" s="141">
        <f>AF112/'Building &amp; Material inputs'!$C$18/'Building &amp; Material inputs'!$C$19</f>
        <v>3.0532851817334578E-10</v>
      </c>
      <c r="BI112" s="188">
        <f>AG112/'Building &amp; Material inputs'!$C$18/'Building &amp; Material inputs'!$C$19</f>
        <v>7.0080164647406025E-3</v>
      </c>
      <c r="BJ112" s="188">
        <f>AH112/'Building &amp; Material inputs'!$C$18/'Building &amp; Material inputs'!$C$19</f>
        <v>7.7640680335507931E-2</v>
      </c>
      <c r="BK112" s="188">
        <f>AI112/'Building &amp; Material inputs'!$C$18/'Building &amp; Material inputs'!$C$19</f>
        <v>7.2406477166822005E-10</v>
      </c>
      <c r="BL112" s="188">
        <f>AJ112/'Building &amp; Material inputs'!$C$18/'Building &amp; Material inputs'!$C$19</f>
        <v>1.802892202547375E-5</v>
      </c>
      <c r="BM112" s="188">
        <f>AK112/'Building &amp; Material inputs'!$C$18/'Building &amp; Material inputs'!$C$19</f>
        <v>8.2874883504193852E-8</v>
      </c>
      <c r="BN112" s="188">
        <f>AL112/'Building &amp; Material inputs'!$C$18/'Building &amp; Material inputs'!$C$19</f>
        <v>2.6083779123951544E-5</v>
      </c>
      <c r="BO112" s="188">
        <f>AM112/'Building &amp; Material inputs'!$C$18/'Building &amp; Material inputs'!$C$19</f>
        <v>1.9279315004659835E-10</v>
      </c>
      <c r="BU112" s="101"/>
      <c r="BV112" s="354" t="s">
        <v>38</v>
      </c>
      <c r="BW112" s="300" t="s">
        <v>659</v>
      </c>
      <c r="BX112" s="335"/>
      <c r="BY112" s="301"/>
      <c r="CA112" s="354" t="s">
        <v>590</v>
      </c>
      <c r="CB112" s="300" t="s">
        <v>659</v>
      </c>
      <c r="CC112" s="335"/>
      <c r="CD112" s="301"/>
    </row>
    <row r="113" spans="2:82" ht="15.75" thickBot="1" x14ac:dyDescent="0.3">
      <c r="B113" s="334"/>
      <c r="C113" s="305"/>
      <c r="D113" s="302"/>
      <c r="E113" s="303" t="s">
        <v>164</v>
      </c>
      <c r="F113" s="65" t="s">
        <v>203</v>
      </c>
      <c r="G113" s="66" t="s">
        <v>367</v>
      </c>
      <c r="H113" s="60" t="str">
        <f>'Material quantities'!G113</f>
        <v>GYP_P</v>
      </c>
      <c r="I113" s="38">
        <f>'Material quantities'!O113</f>
        <v>0</v>
      </c>
      <c r="J113" s="68" t="s">
        <v>332</v>
      </c>
      <c r="K113" s="2"/>
      <c r="L113" s="148">
        <f>VLOOKUP($H113,'Material impact data'!$E$19:$AM$61,6,0)/VLOOKUP($H113,'Material impact data'!$E$19:$AM$61,4,0)*$I113</f>
        <v>0</v>
      </c>
      <c r="M113" s="138">
        <f>VLOOKUP($H113,'Material impact data'!$E$19:$AM$61,'Material impact data'!M$15,0)/VLOOKUP($H113,'Material impact data'!$E$19:$AM$61,4,0)*$I113</f>
        <v>0</v>
      </c>
      <c r="N113" s="138">
        <f>VLOOKUP($H113,'Material impact data'!$E$19:$AM$61,'Material impact data'!N$15,0)/VLOOKUP($H113,'Material impact data'!$E$19:$AM$61,4,0)*$I113</f>
        <v>0</v>
      </c>
      <c r="O113" s="180">
        <f>VLOOKUP($H113,'Material impact data'!$E$19:$AM$61,'Material impact data'!O$15,0)/VLOOKUP($H113,'Material impact data'!$E$19:$AM$61,4,0)*$I113</f>
        <v>0</v>
      </c>
      <c r="P113" s="180">
        <f>VLOOKUP($H113,'Material impact data'!$E$19:$AM$61,'Material impact data'!P$15,0)/VLOOKUP($H113,'Material impact data'!$E$19:$AM$61,4,0)*$I113</f>
        <v>0</v>
      </c>
      <c r="Q113" s="179">
        <f>VLOOKUP($H113,'Material impact data'!$E$19:$AM$61,'Material impact data'!Q$15,0)/VLOOKUP($H113,'Material impact data'!$E$19:$AM$61,4,0)*$I113</f>
        <v>0</v>
      </c>
      <c r="R113" s="179">
        <f>VLOOKUP($H113,'Material impact data'!$E$19:$AM$61,'Material impact data'!R$15,0)/VLOOKUP($H113,'Material impact data'!$E$19:$AM$61,4,0)*$I113</f>
        <v>0</v>
      </c>
      <c r="S113" s="138">
        <f>VLOOKUP($H113,'Material impact data'!$E$19:$AM$61,'Material impact data'!S$15,0)/VLOOKUP($H113,'Material impact data'!$E$19:$AM$61,4,0)*$I113</f>
        <v>0</v>
      </c>
      <c r="T113" s="138">
        <f>VLOOKUP($H113,'Material impact data'!$E$19:$AM$61,'Material impact data'!T$15,0)/VLOOKUP($H113,'Material impact data'!$E$19:$AM$61,4,0)*$I113</f>
        <v>0</v>
      </c>
      <c r="U113" s="138">
        <f>VLOOKUP($H113,'Material impact data'!$E$19:$AM$61,'Material impact data'!U$15,0)/VLOOKUP($H113,'Material impact data'!$E$19:$AM$61,4,0)*$I113</f>
        <v>0</v>
      </c>
      <c r="V113" s="138">
        <f>VLOOKUP($H113,'Material impact data'!$E$19:$AM$61,'Material impact data'!V$15,0)/VLOOKUP($H113,'Material impact data'!$E$19:$AM$61,4,0)*$I113</f>
        <v>0</v>
      </c>
      <c r="W113" s="138">
        <f>VLOOKUP($H113,'Material impact data'!$E$19:$AM$61,'Material impact data'!W$15,0)/VLOOKUP($H113,'Material impact data'!$E$19:$AM$61,4,0)*$I113</f>
        <v>0</v>
      </c>
      <c r="X113" s="138">
        <f>VLOOKUP($H113,'Material impact data'!$E$19:$AM$61,'Material impact data'!X$15,0)/VLOOKUP($H113,'Material impact data'!$E$19:$AM$61,4,0)*$I113</f>
        <v>0</v>
      </c>
      <c r="Y113" s="138">
        <f>VLOOKUP($H113,'Material impact data'!$E$19:$AM$61,'Material impact data'!Y$15,0)/VLOOKUP($H113,'Material impact data'!$E$19:$AM$61,4,0)*$I113</f>
        <v>0</v>
      </c>
      <c r="Z113" s="180">
        <f>VLOOKUP($H113,'Material impact data'!$E$19:$AM$61,'Material impact data'!Z$15,0)/VLOOKUP($H113,'Material impact data'!$E$19:$AM$61,4,0)*$I113</f>
        <v>0</v>
      </c>
      <c r="AA113" s="180">
        <f>VLOOKUP($H113,'Material impact data'!$E$19:$AM$61,'Material impact data'!AA$15,0)/VLOOKUP($H113,'Material impact data'!$E$19:$AM$61,4,0)*$I113</f>
        <v>0</v>
      </c>
      <c r="AB113" s="180">
        <f>VLOOKUP($H113,'Material impact data'!$E$19:$AM$61,'Material impact data'!AB$15,0)/VLOOKUP($H113,'Material impact data'!$E$19:$AM$61,4,0)*$I113</f>
        <v>0</v>
      </c>
      <c r="AC113" s="180">
        <f>VLOOKUP($H113,'Material impact data'!$E$19:$AM$61,'Material impact data'!AC$15,0)/VLOOKUP($H113,'Material impact data'!$E$19:$AM$61,4,0)*$I113</f>
        <v>0</v>
      </c>
      <c r="AD113" s="180">
        <f>VLOOKUP($H113,'Material impact data'!$E$19:$AM$61,'Material impact data'!AD$15,0)/VLOOKUP($H113,'Material impact data'!$E$19:$AM$61,4,0)*$I113</f>
        <v>0</v>
      </c>
      <c r="AE113" s="180">
        <f>VLOOKUP($H113,'Material impact data'!$E$19:$AM$61,'Material impact data'!AE$15,0)/VLOOKUP($H113,'Material impact data'!$E$19:$AM$61,4,0)*$I113</f>
        <v>0</v>
      </c>
      <c r="AF113" s="180">
        <f>VLOOKUP($H113,'Material impact data'!$E$19:$AM$61,'Material impact data'!AF$15,0)/VLOOKUP($H113,'Material impact data'!$E$19:$AM$61,4,0)*$I113</f>
        <v>0</v>
      </c>
      <c r="AG113" s="179">
        <f>VLOOKUP($H113,'Material impact data'!$E$19:$AM$61,'Material impact data'!AG$15,0)/VLOOKUP($H113,'Material impact data'!$E$19:$AM$61,4,0)*$I113</f>
        <v>0</v>
      </c>
      <c r="AH113" s="179">
        <f>VLOOKUP($H113,'Material impact data'!$E$19:$AM$61,'Material impact data'!AH$15,0)/VLOOKUP($H113,'Material impact data'!$E$19:$AM$61,4,0)*$I113</f>
        <v>0</v>
      </c>
      <c r="AI113" s="179">
        <f>VLOOKUP($H113,'Material impact data'!$E$19:$AM$61,'Material impact data'!AI$15,0)/VLOOKUP($H113,'Material impact data'!$E$19:$AM$61,4,0)*$I113</f>
        <v>0</v>
      </c>
      <c r="AJ113" s="179">
        <f>VLOOKUP($H113,'Material impact data'!$E$19:$AM$61,'Material impact data'!AJ$15,0)/VLOOKUP($H113,'Material impact data'!$E$19:$AM$61,4,0)*$I113</f>
        <v>0</v>
      </c>
      <c r="AK113" s="179">
        <f>VLOOKUP($H113,'Material impact data'!$E$19:$AM$61,'Material impact data'!AK$15,0)/VLOOKUP($H113,'Material impact data'!$E$19:$AM$61,4,0)*$I113</f>
        <v>0</v>
      </c>
      <c r="AL113" s="179">
        <f>VLOOKUP($H113,'Material impact data'!$E$19:$AM$61,'Material impact data'!AL$15,0)/VLOOKUP($H113,'Material impact data'!$E$19:$AM$61,4,0)*$I113</f>
        <v>0</v>
      </c>
      <c r="AM113" s="179">
        <f>VLOOKUP($H113,'Material impact data'!$E$19:$AM$61,'Material impact data'!AM$15,0)/VLOOKUP($H113,'Material impact data'!$E$19:$AM$61,4,0)*$I113</f>
        <v>0</v>
      </c>
      <c r="AO113" s="189">
        <f>M113/'Building &amp; Material inputs'!$C$18/'Building &amp; Material inputs'!$C$19</f>
        <v>0</v>
      </c>
      <c r="AP113" s="189">
        <f>N113/'Building &amp; Material inputs'!$C$18/'Building &amp; Material inputs'!$C$19</f>
        <v>0</v>
      </c>
      <c r="AQ113" s="141">
        <f>O113/'Building &amp; Material inputs'!$C$18/'Building &amp; Material inputs'!$C$19</f>
        <v>0</v>
      </c>
      <c r="AR113" s="141">
        <f>P113/'Building &amp; Material inputs'!$C$18/'Building &amp; Material inputs'!$C$19</f>
        <v>0</v>
      </c>
      <c r="AS113" s="188">
        <f>Q113/'Building &amp; Material inputs'!$C$18/'Building &amp; Material inputs'!$C$19</f>
        <v>0</v>
      </c>
      <c r="AT113" s="188">
        <f>R113/'Building &amp; Material inputs'!$C$18/'Building &amp; Material inputs'!$C$19</f>
        <v>0</v>
      </c>
      <c r="AU113" s="189">
        <f>S113/'Building &amp; Material inputs'!$C$18/'Building &amp; Material inputs'!$C$19</f>
        <v>0</v>
      </c>
      <c r="AV113" s="189">
        <f>T113/'Building &amp; Material inputs'!$C$18/'Building &amp; Material inputs'!$C$19</f>
        <v>0</v>
      </c>
      <c r="AW113" s="189">
        <f>U113/'Building &amp; Material inputs'!$C$18/'Building &amp; Material inputs'!$C$19</f>
        <v>0</v>
      </c>
      <c r="AX113" s="189">
        <f>V113/'Building &amp; Material inputs'!$C$18/'Building &amp; Material inputs'!$C$19</f>
        <v>0</v>
      </c>
      <c r="AY113" s="189">
        <f>W113/'Building &amp; Material inputs'!$C$18/'Building &amp; Material inputs'!$C$19</f>
        <v>0</v>
      </c>
      <c r="AZ113" s="189">
        <f>X113/'Building &amp; Material inputs'!$C$18/'Building &amp; Material inputs'!$C$19</f>
        <v>0</v>
      </c>
      <c r="BA113" s="189">
        <f>Y113/'Building &amp; Material inputs'!$C$18/'Building &amp; Material inputs'!$C$19</f>
        <v>0</v>
      </c>
      <c r="BB113" s="141">
        <f>Z113/'Building &amp; Material inputs'!$C$18/'Building &amp; Material inputs'!$C$19</f>
        <v>0</v>
      </c>
      <c r="BC113" s="141">
        <f>AA113/'Building &amp; Material inputs'!$C$18/'Building &amp; Material inputs'!$C$19</f>
        <v>0</v>
      </c>
      <c r="BD113" s="141">
        <f>AB113/'Building &amp; Material inputs'!$C$18/'Building &amp; Material inputs'!$C$19</f>
        <v>0</v>
      </c>
      <c r="BE113" s="141">
        <f>AC113/'Building &amp; Material inputs'!$C$18/'Building &amp; Material inputs'!$C$19</f>
        <v>0</v>
      </c>
      <c r="BF113" s="141">
        <f>AD113/'Building &amp; Material inputs'!$C$18/'Building &amp; Material inputs'!$C$19</f>
        <v>0</v>
      </c>
      <c r="BG113" s="141">
        <f>AE113/'Building &amp; Material inputs'!$C$18/'Building &amp; Material inputs'!$C$19</f>
        <v>0</v>
      </c>
      <c r="BH113" s="141">
        <f>AF113/'Building &amp; Material inputs'!$C$18/'Building &amp; Material inputs'!$C$19</f>
        <v>0</v>
      </c>
      <c r="BI113" s="188">
        <f>AG113/'Building &amp; Material inputs'!$C$18/'Building &amp; Material inputs'!$C$19</f>
        <v>0</v>
      </c>
      <c r="BJ113" s="188">
        <f>AH113/'Building &amp; Material inputs'!$C$18/'Building &amp; Material inputs'!$C$19</f>
        <v>0</v>
      </c>
      <c r="BK113" s="188">
        <f>AI113/'Building &amp; Material inputs'!$C$18/'Building &amp; Material inputs'!$C$19</f>
        <v>0</v>
      </c>
      <c r="BL113" s="188">
        <f>AJ113/'Building &amp; Material inputs'!$C$18/'Building &amp; Material inputs'!$C$19</f>
        <v>0</v>
      </c>
      <c r="BM113" s="188">
        <f>AK113/'Building &amp; Material inputs'!$C$18/'Building &amp; Material inputs'!$C$19</f>
        <v>0</v>
      </c>
      <c r="BN113" s="188">
        <f>AL113/'Building &amp; Material inputs'!$C$18/'Building &amp; Material inputs'!$C$19</f>
        <v>0</v>
      </c>
      <c r="BO113" s="188">
        <f>AM113/'Building &amp; Material inputs'!$C$18/'Building &amp; Material inputs'!$C$19</f>
        <v>0</v>
      </c>
      <c r="BQ113" s="210" t="s">
        <v>675</v>
      </c>
      <c r="BR113" s="211" t="s">
        <v>669</v>
      </c>
      <c r="BS113" s="211" t="s">
        <v>668</v>
      </c>
      <c r="BT113" s="44" t="s">
        <v>667</v>
      </c>
      <c r="BU113" s="101"/>
      <c r="BV113" s="355"/>
      <c r="BW113" s="213" t="s">
        <v>39</v>
      </c>
      <c r="BX113" s="218" t="s">
        <v>660</v>
      </c>
      <c r="BY113" s="223" t="s">
        <v>661</v>
      </c>
      <c r="CA113" s="355"/>
      <c r="CB113" s="213" t="s">
        <v>39</v>
      </c>
      <c r="CC113" s="218" t="s">
        <v>660</v>
      </c>
      <c r="CD113" s="223" t="s">
        <v>661</v>
      </c>
    </row>
    <row r="114" spans="2:82" x14ac:dyDescent="0.25">
      <c r="B114" s="334"/>
      <c r="C114" s="305"/>
      <c r="D114" s="302"/>
      <c r="E114" s="303"/>
      <c r="F114" s="65" t="s">
        <v>204</v>
      </c>
      <c r="G114" s="66" t="s">
        <v>62</v>
      </c>
      <c r="H114" s="60" t="str">
        <f>'Material quantities'!G114</f>
        <v>CLT</v>
      </c>
      <c r="I114" s="38">
        <f>'Material quantities'!O114</f>
        <v>0</v>
      </c>
      <c r="J114" s="68" t="s">
        <v>14</v>
      </c>
      <c r="K114" s="2"/>
      <c r="L114" s="148">
        <f>VLOOKUP($H114,'Material impact data'!$E$19:$AM$61,6,0)/VLOOKUP($H114,'Material impact data'!$E$19:$AM$61,4,0)*$I114</f>
        <v>0</v>
      </c>
      <c r="M114" s="138">
        <f>VLOOKUP($H114,'Material impact data'!$E$19:$AM$61,'Material impact data'!M$15,0)/VLOOKUP($H114,'Material impact data'!$E$19:$AM$61,4,0)*$I114</f>
        <v>0</v>
      </c>
      <c r="N114" s="138">
        <f>VLOOKUP($H114,'Material impact data'!$E$19:$AM$61,'Material impact data'!N$15,0)/VLOOKUP($H114,'Material impact data'!$E$19:$AM$61,4,0)*$I114</f>
        <v>0</v>
      </c>
      <c r="O114" s="180">
        <f>VLOOKUP($H114,'Material impact data'!$E$19:$AM$61,'Material impact data'!O$15,0)/VLOOKUP($H114,'Material impact data'!$E$19:$AM$61,4,0)*$I114</f>
        <v>0</v>
      </c>
      <c r="P114" s="180">
        <f>VLOOKUP($H114,'Material impact data'!$E$19:$AM$61,'Material impact data'!P$15,0)/VLOOKUP($H114,'Material impact data'!$E$19:$AM$61,4,0)*$I114</f>
        <v>0</v>
      </c>
      <c r="Q114" s="179">
        <f>VLOOKUP($H114,'Material impact data'!$E$19:$AM$61,'Material impact data'!Q$15,0)/VLOOKUP($H114,'Material impact data'!$E$19:$AM$61,4,0)*$I114</f>
        <v>0</v>
      </c>
      <c r="R114" s="179">
        <f>VLOOKUP($H114,'Material impact data'!$E$19:$AM$61,'Material impact data'!R$15,0)/VLOOKUP($H114,'Material impact data'!$E$19:$AM$61,4,0)*$I114</f>
        <v>0</v>
      </c>
      <c r="S114" s="138">
        <f>VLOOKUP($H114,'Material impact data'!$E$19:$AM$61,'Material impact data'!S$15,0)/VLOOKUP($H114,'Material impact data'!$E$19:$AM$61,4,0)*$I114</f>
        <v>0</v>
      </c>
      <c r="T114" s="138">
        <f>VLOOKUP($H114,'Material impact data'!$E$19:$AM$61,'Material impact data'!T$15,0)/VLOOKUP($H114,'Material impact data'!$E$19:$AM$61,4,0)*$I114</f>
        <v>0</v>
      </c>
      <c r="U114" s="138">
        <f>VLOOKUP($H114,'Material impact data'!$E$19:$AM$61,'Material impact data'!U$15,0)/VLOOKUP($H114,'Material impact data'!$E$19:$AM$61,4,0)*$I114</f>
        <v>0</v>
      </c>
      <c r="V114" s="138">
        <f>VLOOKUP($H114,'Material impact data'!$E$19:$AM$61,'Material impact data'!V$15,0)/VLOOKUP($H114,'Material impact data'!$E$19:$AM$61,4,0)*$I114</f>
        <v>0</v>
      </c>
      <c r="W114" s="138">
        <f>VLOOKUP($H114,'Material impact data'!$E$19:$AM$61,'Material impact data'!W$15,0)/VLOOKUP($H114,'Material impact data'!$E$19:$AM$61,4,0)*$I114</f>
        <v>0</v>
      </c>
      <c r="X114" s="138">
        <f>VLOOKUP($H114,'Material impact data'!$E$19:$AM$61,'Material impact data'!X$15,0)/VLOOKUP($H114,'Material impact data'!$E$19:$AM$61,4,0)*$I114</f>
        <v>0</v>
      </c>
      <c r="Y114" s="138">
        <f>VLOOKUP($H114,'Material impact data'!$E$19:$AM$61,'Material impact data'!Y$15,0)/VLOOKUP($H114,'Material impact data'!$E$19:$AM$61,4,0)*$I114</f>
        <v>0</v>
      </c>
      <c r="Z114" s="180">
        <f>VLOOKUP($H114,'Material impact data'!$E$19:$AM$61,'Material impact data'!Z$15,0)/VLOOKUP($H114,'Material impact data'!$E$19:$AM$61,4,0)*$I114</f>
        <v>0</v>
      </c>
      <c r="AA114" s="180">
        <f>VLOOKUP($H114,'Material impact data'!$E$19:$AM$61,'Material impact data'!AA$15,0)/VLOOKUP($H114,'Material impact data'!$E$19:$AM$61,4,0)*$I114</f>
        <v>0</v>
      </c>
      <c r="AB114" s="180">
        <f>VLOOKUP($H114,'Material impact data'!$E$19:$AM$61,'Material impact data'!AB$15,0)/VLOOKUP($H114,'Material impact data'!$E$19:$AM$61,4,0)*$I114</f>
        <v>0</v>
      </c>
      <c r="AC114" s="180">
        <f>VLOOKUP($H114,'Material impact data'!$E$19:$AM$61,'Material impact data'!AC$15,0)/VLOOKUP($H114,'Material impact data'!$E$19:$AM$61,4,0)*$I114</f>
        <v>0</v>
      </c>
      <c r="AD114" s="180">
        <f>VLOOKUP($H114,'Material impact data'!$E$19:$AM$61,'Material impact data'!AD$15,0)/VLOOKUP($H114,'Material impact data'!$E$19:$AM$61,4,0)*$I114</f>
        <v>0</v>
      </c>
      <c r="AE114" s="180">
        <f>VLOOKUP($H114,'Material impact data'!$E$19:$AM$61,'Material impact data'!AE$15,0)/VLOOKUP($H114,'Material impact data'!$E$19:$AM$61,4,0)*$I114</f>
        <v>0</v>
      </c>
      <c r="AF114" s="180">
        <f>VLOOKUP($H114,'Material impact data'!$E$19:$AM$61,'Material impact data'!AF$15,0)/VLOOKUP($H114,'Material impact data'!$E$19:$AM$61,4,0)*$I114</f>
        <v>0</v>
      </c>
      <c r="AG114" s="179">
        <f>VLOOKUP($H114,'Material impact data'!$E$19:$AM$61,'Material impact data'!AG$15,0)/VLOOKUP($H114,'Material impact data'!$E$19:$AM$61,4,0)*$I114</f>
        <v>0</v>
      </c>
      <c r="AH114" s="179">
        <f>VLOOKUP($H114,'Material impact data'!$E$19:$AM$61,'Material impact data'!AH$15,0)/VLOOKUP($H114,'Material impact data'!$E$19:$AM$61,4,0)*$I114</f>
        <v>0</v>
      </c>
      <c r="AI114" s="179">
        <f>VLOOKUP($H114,'Material impact data'!$E$19:$AM$61,'Material impact data'!AI$15,0)/VLOOKUP($H114,'Material impact data'!$E$19:$AM$61,4,0)*$I114</f>
        <v>0</v>
      </c>
      <c r="AJ114" s="179">
        <f>VLOOKUP($H114,'Material impact data'!$E$19:$AM$61,'Material impact data'!AJ$15,0)/VLOOKUP($H114,'Material impact data'!$E$19:$AM$61,4,0)*$I114</f>
        <v>0</v>
      </c>
      <c r="AK114" s="179">
        <f>VLOOKUP($H114,'Material impact data'!$E$19:$AM$61,'Material impact data'!AK$15,0)/VLOOKUP($H114,'Material impact data'!$E$19:$AM$61,4,0)*$I114</f>
        <v>0</v>
      </c>
      <c r="AL114" s="179">
        <f>VLOOKUP($H114,'Material impact data'!$E$19:$AM$61,'Material impact data'!AL$15,0)/VLOOKUP($H114,'Material impact data'!$E$19:$AM$61,4,0)*$I114</f>
        <v>0</v>
      </c>
      <c r="AM114" s="179">
        <f>VLOOKUP($H114,'Material impact data'!$E$19:$AM$61,'Material impact data'!AM$15,0)/VLOOKUP($H114,'Material impact data'!$E$19:$AM$61,4,0)*$I114</f>
        <v>0</v>
      </c>
      <c r="AO114" s="189">
        <f>M114/'Building &amp; Material inputs'!$C$18/'Building &amp; Material inputs'!$C$19</f>
        <v>0</v>
      </c>
      <c r="AP114" s="189">
        <f>N114/'Building &amp; Material inputs'!$C$18/'Building &amp; Material inputs'!$C$19</f>
        <v>0</v>
      </c>
      <c r="AQ114" s="141">
        <f>O114/'Building &amp; Material inputs'!$C$18/'Building &amp; Material inputs'!$C$19</f>
        <v>0</v>
      </c>
      <c r="AR114" s="141">
        <f>P114/'Building &amp; Material inputs'!$C$18/'Building &amp; Material inputs'!$C$19</f>
        <v>0</v>
      </c>
      <c r="AS114" s="188">
        <f>Q114/'Building &amp; Material inputs'!$C$18/'Building &amp; Material inputs'!$C$19</f>
        <v>0</v>
      </c>
      <c r="AT114" s="188">
        <f>R114/'Building &amp; Material inputs'!$C$18/'Building &amp; Material inputs'!$C$19</f>
        <v>0</v>
      </c>
      <c r="AU114" s="189">
        <f>S114/'Building &amp; Material inputs'!$C$18/'Building &amp; Material inputs'!$C$19</f>
        <v>0</v>
      </c>
      <c r="AV114" s="189">
        <f>T114/'Building &amp; Material inputs'!$C$18/'Building &amp; Material inputs'!$C$19</f>
        <v>0</v>
      </c>
      <c r="AW114" s="189">
        <f>U114/'Building &amp; Material inputs'!$C$18/'Building &amp; Material inputs'!$C$19</f>
        <v>0</v>
      </c>
      <c r="AX114" s="189">
        <f>V114/'Building &amp; Material inputs'!$C$18/'Building &amp; Material inputs'!$C$19</f>
        <v>0</v>
      </c>
      <c r="AY114" s="189">
        <f>W114/'Building &amp; Material inputs'!$C$18/'Building &amp; Material inputs'!$C$19</f>
        <v>0</v>
      </c>
      <c r="AZ114" s="189">
        <f>X114/'Building &amp; Material inputs'!$C$18/'Building &amp; Material inputs'!$C$19</f>
        <v>0</v>
      </c>
      <c r="BA114" s="189">
        <f>Y114/'Building &amp; Material inputs'!$C$18/'Building &amp; Material inputs'!$C$19</f>
        <v>0</v>
      </c>
      <c r="BB114" s="141">
        <f>Z114/'Building &amp; Material inputs'!$C$18/'Building &amp; Material inputs'!$C$19</f>
        <v>0</v>
      </c>
      <c r="BC114" s="141">
        <f>AA114/'Building &amp; Material inputs'!$C$18/'Building &amp; Material inputs'!$C$19</f>
        <v>0</v>
      </c>
      <c r="BD114" s="141">
        <f>AB114/'Building &amp; Material inputs'!$C$18/'Building &amp; Material inputs'!$C$19</f>
        <v>0</v>
      </c>
      <c r="BE114" s="141">
        <f>AC114/'Building &amp; Material inputs'!$C$18/'Building &amp; Material inputs'!$C$19</f>
        <v>0</v>
      </c>
      <c r="BF114" s="141">
        <f>AD114/'Building &amp; Material inputs'!$C$18/'Building &amp; Material inputs'!$C$19</f>
        <v>0</v>
      </c>
      <c r="BG114" s="141">
        <f>AE114/'Building &amp; Material inputs'!$C$18/'Building &amp; Material inputs'!$C$19</f>
        <v>0</v>
      </c>
      <c r="BH114" s="141">
        <f>AF114/'Building &amp; Material inputs'!$C$18/'Building &amp; Material inputs'!$C$19</f>
        <v>0</v>
      </c>
      <c r="BI114" s="188">
        <f>AG114/'Building &amp; Material inputs'!$C$18/'Building &amp; Material inputs'!$C$19</f>
        <v>0</v>
      </c>
      <c r="BJ114" s="188">
        <f>AH114/'Building &amp; Material inputs'!$C$18/'Building &amp; Material inputs'!$C$19</f>
        <v>0</v>
      </c>
      <c r="BK114" s="188">
        <f>AI114/'Building &amp; Material inputs'!$C$18/'Building &amp; Material inputs'!$C$19</f>
        <v>0</v>
      </c>
      <c r="BL114" s="188">
        <f>AJ114/'Building &amp; Material inputs'!$C$18/'Building &amp; Material inputs'!$C$19</f>
        <v>0</v>
      </c>
      <c r="BM114" s="188">
        <f>AK114/'Building &amp; Material inputs'!$C$18/'Building &amp; Material inputs'!$C$19</f>
        <v>0</v>
      </c>
      <c r="BN114" s="188">
        <f>AL114/'Building &amp; Material inputs'!$C$18/'Building &amp; Material inputs'!$C$19</f>
        <v>0</v>
      </c>
      <c r="BO114" s="188">
        <f>AM114/'Building &amp; Material inputs'!$C$18/'Building &amp; Material inputs'!$C$19</f>
        <v>0</v>
      </c>
      <c r="BQ114" s="204" t="s">
        <v>670</v>
      </c>
      <c r="BR114" s="207">
        <f>$L$37</f>
        <v>16019.91012</v>
      </c>
      <c r="BS114">
        <v>9336.77</v>
      </c>
      <c r="BT114" s="194">
        <v>7188.46</v>
      </c>
      <c r="BU114" s="101"/>
      <c r="BV114" s="203" t="s">
        <v>662</v>
      </c>
      <c r="BW114" s="214">
        <f>$AU$37</f>
        <v>1.6597260505591798</v>
      </c>
      <c r="BX114" s="219">
        <f>$BB$37</f>
        <v>3.6477787278657969E-2</v>
      </c>
      <c r="BY114" s="224">
        <f>$BI$37</f>
        <v>3.0784098481154007E-3</v>
      </c>
      <c r="CA114" s="203" t="s">
        <v>662</v>
      </c>
      <c r="CB114" s="216">
        <f>$AX$37</f>
        <v>3.0054355079217154E-3</v>
      </c>
      <c r="CC114" s="221">
        <f>$BE$37</f>
        <v>1.329433122087605E-4</v>
      </c>
      <c r="CD114" s="226">
        <f>$BL$37</f>
        <v>1.7313765068178706E-5</v>
      </c>
    </row>
    <row r="115" spans="2:82" x14ac:dyDescent="0.25">
      <c r="B115" s="334"/>
      <c r="C115" s="305"/>
      <c r="D115" s="302"/>
      <c r="E115" s="303"/>
      <c r="F115" s="65" t="s">
        <v>205</v>
      </c>
      <c r="G115" s="66" t="s">
        <v>605</v>
      </c>
      <c r="H115" s="60" t="str">
        <f>'Material quantities'!G115</f>
        <v>ST-G</v>
      </c>
      <c r="I115" s="38">
        <f>'Material quantities'!O115</f>
        <v>0</v>
      </c>
      <c r="J115" s="68" t="s">
        <v>15</v>
      </c>
      <c r="K115" s="2"/>
      <c r="L115" s="148">
        <f>VLOOKUP($H115,'Material impact data'!$E$19:$AM$61,6,0)/VLOOKUP($H115,'Material impact data'!$E$19:$AM$61,4,0)*$I115</f>
        <v>0</v>
      </c>
      <c r="M115" s="138">
        <f>VLOOKUP($H115,'Material impact data'!$E$19:$AM$61,'Material impact data'!M$15,0)/VLOOKUP($H115,'Material impact data'!$E$19:$AM$61,4,0)*$I115</f>
        <v>0</v>
      </c>
      <c r="N115" s="138">
        <f>VLOOKUP($H115,'Material impact data'!$E$19:$AM$61,'Material impact data'!N$15,0)/VLOOKUP($H115,'Material impact data'!$E$19:$AM$61,4,0)*$I115</f>
        <v>0</v>
      </c>
      <c r="O115" s="180">
        <f>VLOOKUP($H115,'Material impact data'!$E$19:$AM$61,'Material impact data'!O$15,0)/VLOOKUP($H115,'Material impact data'!$E$19:$AM$61,4,0)*$I115</f>
        <v>0</v>
      </c>
      <c r="P115" s="180">
        <f>VLOOKUP($H115,'Material impact data'!$E$19:$AM$61,'Material impact data'!P$15,0)/VLOOKUP($H115,'Material impact data'!$E$19:$AM$61,4,0)*$I115</f>
        <v>0</v>
      </c>
      <c r="Q115" s="179">
        <f>VLOOKUP($H115,'Material impact data'!$E$19:$AM$61,'Material impact data'!Q$15,0)/VLOOKUP($H115,'Material impact data'!$E$19:$AM$61,4,0)*$I115</f>
        <v>0</v>
      </c>
      <c r="R115" s="179">
        <f>VLOOKUP($H115,'Material impact data'!$E$19:$AM$61,'Material impact data'!R$15,0)/VLOOKUP($H115,'Material impact data'!$E$19:$AM$61,4,0)*$I115</f>
        <v>0</v>
      </c>
      <c r="S115" s="138">
        <f>VLOOKUP($H115,'Material impact data'!$E$19:$AM$61,'Material impact data'!S$15,0)/VLOOKUP($H115,'Material impact data'!$E$19:$AM$61,4,0)*$I115</f>
        <v>0</v>
      </c>
      <c r="T115" s="138">
        <f>VLOOKUP($H115,'Material impact data'!$E$19:$AM$61,'Material impact data'!T$15,0)/VLOOKUP($H115,'Material impact data'!$E$19:$AM$61,4,0)*$I115</f>
        <v>0</v>
      </c>
      <c r="U115" s="138">
        <f>VLOOKUP($H115,'Material impact data'!$E$19:$AM$61,'Material impact data'!U$15,0)/VLOOKUP($H115,'Material impact data'!$E$19:$AM$61,4,0)*$I115</f>
        <v>0</v>
      </c>
      <c r="V115" s="138">
        <f>VLOOKUP($H115,'Material impact data'!$E$19:$AM$61,'Material impact data'!V$15,0)/VLOOKUP($H115,'Material impact data'!$E$19:$AM$61,4,0)*$I115</f>
        <v>0</v>
      </c>
      <c r="W115" s="138">
        <f>VLOOKUP($H115,'Material impact data'!$E$19:$AM$61,'Material impact data'!W$15,0)/VLOOKUP($H115,'Material impact data'!$E$19:$AM$61,4,0)*$I115</f>
        <v>0</v>
      </c>
      <c r="X115" s="138">
        <f>VLOOKUP($H115,'Material impact data'!$E$19:$AM$61,'Material impact data'!X$15,0)/VLOOKUP($H115,'Material impact data'!$E$19:$AM$61,4,0)*$I115</f>
        <v>0</v>
      </c>
      <c r="Y115" s="138">
        <f>VLOOKUP($H115,'Material impact data'!$E$19:$AM$61,'Material impact data'!Y$15,0)/VLOOKUP($H115,'Material impact data'!$E$19:$AM$61,4,0)*$I115</f>
        <v>0</v>
      </c>
      <c r="Z115" s="180">
        <f>VLOOKUP($H115,'Material impact data'!$E$19:$AM$61,'Material impact data'!Z$15,0)/VLOOKUP($H115,'Material impact data'!$E$19:$AM$61,4,0)*$I115</f>
        <v>0</v>
      </c>
      <c r="AA115" s="180">
        <f>VLOOKUP($H115,'Material impact data'!$E$19:$AM$61,'Material impact data'!AA$15,0)/VLOOKUP($H115,'Material impact data'!$E$19:$AM$61,4,0)*$I115</f>
        <v>0</v>
      </c>
      <c r="AB115" s="180">
        <f>VLOOKUP($H115,'Material impact data'!$E$19:$AM$61,'Material impact data'!AB$15,0)/VLOOKUP($H115,'Material impact data'!$E$19:$AM$61,4,0)*$I115</f>
        <v>0</v>
      </c>
      <c r="AC115" s="180">
        <f>VLOOKUP($H115,'Material impact data'!$E$19:$AM$61,'Material impact data'!AC$15,0)/VLOOKUP($H115,'Material impact data'!$E$19:$AM$61,4,0)*$I115</f>
        <v>0</v>
      </c>
      <c r="AD115" s="180">
        <f>VLOOKUP($H115,'Material impact data'!$E$19:$AM$61,'Material impact data'!AD$15,0)/VLOOKUP($H115,'Material impact data'!$E$19:$AM$61,4,0)*$I115</f>
        <v>0</v>
      </c>
      <c r="AE115" s="180">
        <f>VLOOKUP($H115,'Material impact data'!$E$19:$AM$61,'Material impact data'!AE$15,0)/VLOOKUP($H115,'Material impact data'!$E$19:$AM$61,4,0)*$I115</f>
        <v>0</v>
      </c>
      <c r="AF115" s="180">
        <f>VLOOKUP($H115,'Material impact data'!$E$19:$AM$61,'Material impact data'!AF$15,0)/VLOOKUP($H115,'Material impact data'!$E$19:$AM$61,4,0)*$I115</f>
        <v>0</v>
      </c>
      <c r="AG115" s="179">
        <f>VLOOKUP($H115,'Material impact data'!$E$19:$AM$61,'Material impact data'!AG$15,0)/VLOOKUP($H115,'Material impact data'!$E$19:$AM$61,4,0)*$I115</f>
        <v>0</v>
      </c>
      <c r="AH115" s="179">
        <f>VLOOKUP($H115,'Material impact data'!$E$19:$AM$61,'Material impact data'!AH$15,0)/VLOOKUP($H115,'Material impact data'!$E$19:$AM$61,4,0)*$I115</f>
        <v>0</v>
      </c>
      <c r="AI115" s="179">
        <f>VLOOKUP($H115,'Material impact data'!$E$19:$AM$61,'Material impact data'!AI$15,0)/VLOOKUP($H115,'Material impact data'!$E$19:$AM$61,4,0)*$I115</f>
        <v>0</v>
      </c>
      <c r="AJ115" s="179">
        <f>VLOOKUP($H115,'Material impact data'!$E$19:$AM$61,'Material impact data'!AJ$15,0)/VLOOKUP($H115,'Material impact data'!$E$19:$AM$61,4,0)*$I115</f>
        <v>0</v>
      </c>
      <c r="AK115" s="179">
        <f>VLOOKUP($H115,'Material impact data'!$E$19:$AM$61,'Material impact data'!AK$15,0)/VLOOKUP($H115,'Material impact data'!$E$19:$AM$61,4,0)*$I115</f>
        <v>0</v>
      </c>
      <c r="AL115" s="179">
        <f>VLOOKUP($H115,'Material impact data'!$E$19:$AM$61,'Material impact data'!AL$15,0)/VLOOKUP($H115,'Material impact data'!$E$19:$AM$61,4,0)*$I115</f>
        <v>0</v>
      </c>
      <c r="AM115" s="179">
        <f>VLOOKUP($H115,'Material impact data'!$E$19:$AM$61,'Material impact data'!AM$15,0)/VLOOKUP($H115,'Material impact data'!$E$19:$AM$61,4,0)*$I115</f>
        <v>0</v>
      </c>
      <c r="AO115" s="189">
        <f>M115/'Building &amp; Material inputs'!$C$18/'Building &amp; Material inputs'!$C$19</f>
        <v>0</v>
      </c>
      <c r="AP115" s="189">
        <f>N115/'Building &amp; Material inputs'!$C$18/'Building &amp; Material inputs'!$C$19</f>
        <v>0</v>
      </c>
      <c r="AQ115" s="141">
        <f>O115/'Building &amp; Material inputs'!$C$18/'Building &amp; Material inputs'!$C$19</f>
        <v>0</v>
      </c>
      <c r="AR115" s="141">
        <f>P115/'Building &amp; Material inputs'!$C$18/'Building &amp; Material inputs'!$C$19</f>
        <v>0</v>
      </c>
      <c r="AS115" s="188">
        <f>Q115/'Building &amp; Material inputs'!$C$18/'Building &amp; Material inputs'!$C$19</f>
        <v>0</v>
      </c>
      <c r="AT115" s="188">
        <f>R115/'Building &amp; Material inputs'!$C$18/'Building &amp; Material inputs'!$C$19</f>
        <v>0</v>
      </c>
      <c r="AU115" s="189">
        <f>S115/'Building &amp; Material inputs'!$C$18/'Building &amp; Material inputs'!$C$19</f>
        <v>0</v>
      </c>
      <c r="AV115" s="189">
        <f>T115/'Building &amp; Material inputs'!$C$18/'Building &amp; Material inputs'!$C$19</f>
        <v>0</v>
      </c>
      <c r="AW115" s="189">
        <f>U115/'Building &amp; Material inputs'!$C$18/'Building &amp; Material inputs'!$C$19</f>
        <v>0</v>
      </c>
      <c r="AX115" s="189">
        <f>V115/'Building &amp; Material inputs'!$C$18/'Building &amp; Material inputs'!$C$19</f>
        <v>0</v>
      </c>
      <c r="AY115" s="189">
        <f>W115/'Building &amp; Material inputs'!$C$18/'Building &amp; Material inputs'!$C$19</f>
        <v>0</v>
      </c>
      <c r="AZ115" s="189">
        <f>X115/'Building &amp; Material inputs'!$C$18/'Building &amp; Material inputs'!$C$19</f>
        <v>0</v>
      </c>
      <c r="BA115" s="189">
        <f>Y115/'Building &amp; Material inputs'!$C$18/'Building &amp; Material inputs'!$C$19</f>
        <v>0</v>
      </c>
      <c r="BB115" s="141">
        <f>Z115/'Building &amp; Material inputs'!$C$18/'Building &amp; Material inputs'!$C$19</f>
        <v>0</v>
      </c>
      <c r="BC115" s="141">
        <f>AA115/'Building &amp; Material inputs'!$C$18/'Building &amp; Material inputs'!$C$19</f>
        <v>0</v>
      </c>
      <c r="BD115" s="141">
        <f>AB115/'Building &amp; Material inputs'!$C$18/'Building &amp; Material inputs'!$C$19</f>
        <v>0</v>
      </c>
      <c r="BE115" s="141">
        <f>AC115/'Building &amp; Material inputs'!$C$18/'Building &amp; Material inputs'!$C$19</f>
        <v>0</v>
      </c>
      <c r="BF115" s="141">
        <f>AD115/'Building &amp; Material inputs'!$C$18/'Building &amp; Material inputs'!$C$19</f>
        <v>0</v>
      </c>
      <c r="BG115" s="141">
        <f>AE115/'Building &amp; Material inputs'!$C$18/'Building &amp; Material inputs'!$C$19</f>
        <v>0</v>
      </c>
      <c r="BH115" s="141">
        <f>AF115/'Building &amp; Material inputs'!$C$18/'Building &amp; Material inputs'!$C$19</f>
        <v>0</v>
      </c>
      <c r="BI115" s="188">
        <f>AG115/'Building &amp; Material inputs'!$C$18/'Building &amp; Material inputs'!$C$19</f>
        <v>0</v>
      </c>
      <c r="BJ115" s="188">
        <f>AH115/'Building &amp; Material inputs'!$C$18/'Building &amp; Material inputs'!$C$19</f>
        <v>0</v>
      </c>
      <c r="BK115" s="188">
        <f>AI115/'Building &amp; Material inputs'!$C$18/'Building &amp; Material inputs'!$C$19</f>
        <v>0</v>
      </c>
      <c r="BL115" s="188">
        <f>AJ115/'Building &amp; Material inputs'!$C$18/'Building &amp; Material inputs'!$C$19</f>
        <v>0</v>
      </c>
      <c r="BM115" s="188">
        <f>AK115/'Building &amp; Material inputs'!$C$18/'Building &amp; Material inputs'!$C$19</f>
        <v>0</v>
      </c>
      <c r="BN115" s="188">
        <f>AL115/'Building &amp; Material inputs'!$C$18/'Building &amp; Material inputs'!$C$19</f>
        <v>0</v>
      </c>
      <c r="BO115" s="188">
        <f>AM115/'Building &amp; Material inputs'!$C$18/'Building &amp; Material inputs'!$C$19</f>
        <v>0</v>
      </c>
      <c r="BQ115" s="204" t="s">
        <v>671</v>
      </c>
      <c r="BR115" s="207">
        <f>$L$64</f>
        <v>48981.070699999997</v>
      </c>
      <c r="BS115">
        <v>170393.88</v>
      </c>
      <c r="BT115" s="194">
        <v>86604.36</v>
      </c>
      <c r="BU115" s="101"/>
      <c r="BV115" s="204" t="s">
        <v>663</v>
      </c>
      <c r="BW115" s="214">
        <f>$AU$64</f>
        <v>2.6129117334575955</v>
      </c>
      <c r="BX115" s="219">
        <f>$BB$64</f>
        <v>6.8413209847778822E-2</v>
      </c>
      <c r="BY115" s="224">
        <f>$BI$64</f>
        <v>7.3254572663373715E-4</v>
      </c>
      <c r="CA115" s="204" t="s">
        <v>663</v>
      </c>
      <c r="CB115" s="216">
        <f>$AX$64</f>
        <v>5.0560492388940659E-3</v>
      </c>
      <c r="CC115" s="221">
        <f>$BE$64</f>
        <v>2.8318187713575647E-4</v>
      </c>
      <c r="CD115" s="226">
        <f>$BL$64</f>
        <v>2.4498503521944705E-5</v>
      </c>
    </row>
    <row r="116" spans="2:82" x14ac:dyDescent="0.25">
      <c r="B116" s="334"/>
      <c r="C116" s="305"/>
      <c r="D116" s="302"/>
      <c r="E116" s="303"/>
      <c r="F116" s="65" t="s">
        <v>206</v>
      </c>
      <c r="G116" s="66" t="s">
        <v>57</v>
      </c>
      <c r="H116" s="60" t="str">
        <f>'Material quantities'!G116</f>
        <v>MWOOL</v>
      </c>
      <c r="I116" s="38">
        <f>'Material quantities'!O116</f>
        <v>0</v>
      </c>
      <c r="J116" s="68" t="s">
        <v>14</v>
      </c>
      <c r="K116" s="2"/>
      <c r="L116" s="148">
        <f>VLOOKUP($H116,'Material impact data'!$E$19:$AM$61,6,0)/VLOOKUP($H116,'Material impact data'!$E$19:$AM$61,4,0)*$I116</f>
        <v>0</v>
      </c>
      <c r="M116" s="138">
        <f>VLOOKUP($H116,'Material impact data'!$E$19:$AM$61,'Material impact data'!M$15,0)/VLOOKUP($H116,'Material impact data'!$E$19:$AM$61,4,0)*$I116</f>
        <v>0</v>
      </c>
      <c r="N116" s="138">
        <f>VLOOKUP($H116,'Material impact data'!$E$19:$AM$61,'Material impact data'!N$15,0)/VLOOKUP($H116,'Material impact data'!$E$19:$AM$61,4,0)*$I116</f>
        <v>0</v>
      </c>
      <c r="O116" s="180">
        <f>VLOOKUP($H116,'Material impact data'!$E$19:$AM$61,'Material impact data'!O$15,0)/VLOOKUP($H116,'Material impact data'!$E$19:$AM$61,4,0)*$I116</f>
        <v>0</v>
      </c>
      <c r="P116" s="180">
        <f>VLOOKUP($H116,'Material impact data'!$E$19:$AM$61,'Material impact data'!P$15,0)/VLOOKUP($H116,'Material impact data'!$E$19:$AM$61,4,0)*$I116</f>
        <v>0</v>
      </c>
      <c r="Q116" s="179">
        <f>VLOOKUP($H116,'Material impact data'!$E$19:$AM$61,'Material impact data'!Q$15,0)/VLOOKUP($H116,'Material impact data'!$E$19:$AM$61,4,0)*$I116</f>
        <v>0</v>
      </c>
      <c r="R116" s="179">
        <f>VLOOKUP($H116,'Material impact data'!$E$19:$AM$61,'Material impact data'!R$15,0)/VLOOKUP($H116,'Material impact data'!$E$19:$AM$61,4,0)*$I116</f>
        <v>0</v>
      </c>
      <c r="S116" s="138">
        <f>VLOOKUP($H116,'Material impact data'!$E$19:$AM$61,'Material impact data'!S$15,0)/VLOOKUP($H116,'Material impact data'!$E$19:$AM$61,4,0)*$I116</f>
        <v>0</v>
      </c>
      <c r="T116" s="138">
        <f>VLOOKUP($H116,'Material impact data'!$E$19:$AM$61,'Material impact data'!T$15,0)/VLOOKUP($H116,'Material impact data'!$E$19:$AM$61,4,0)*$I116</f>
        <v>0</v>
      </c>
      <c r="U116" s="138">
        <f>VLOOKUP($H116,'Material impact data'!$E$19:$AM$61,'Material impact data'!U$15,0)/VLOOKUP($H116,'Material impact data'!$E$19:$AM$61,4,0)*$I116</f>
        <v>0</v>
      </c>
      <c r="V116" s="138">
        <f>VLOOKUP($H116,'Material impact data'!$E$19:$AM$61,'Material impact data'!V$15,0)/VLOOKUP($H116,'Material impact data'!$E$19:$AM$61,4,0)*$I116</f>
        <v>0</v>
      </c>
      <c r="W116" s="138">
        <f>VLOOKUP($H116,'Material impact data'!$E$19:$AM$61,'Material impact data'!W$15,0)/VLOOKUP($H116,'Material impact data'!$E$19:$AM$61,4,0)*$I116</f>
        <v>0</v>
      </c>
      <c r="X116" s="138">
        <f>VLOOKUP($H116,'Material impact data'!$E$19:$AM$61,'Material impact data'!X$15,0)/VLOOKUP($H116,'Material impact data'!$E$19:$AM$61,4,0)*$I116</f>
        <v>0</v>
      </c>
      <c r="Y116" s="138">
        <f>VLOOKUP($H116,'Material impact data'!$E$19:$AM$61,'Material impact data'!Y$15,0)/VLOOKUP($H116,'Material impact data'!$E$19:$AM$61,4,0)*$I116</f>
        <v>0</v>
      </c>
      <c r="Z116" s="180">
        <f>VLOOKUP($H116,'Material impact data'!$E$19:$AM$61,'Material impact data'!Z$15,0)/VLOOKUP($H116,'Material impact data'!$E$19:$AM$61,4,0)*$I116</f>
        <v>0</v>
      </c>
      <c r="AA116" s="180">
        <f>VLOOKUP($H116,'Material impact data'!$E$19:$AM$61,'Material impact data'!AA$15,0)/VLOOKUP($H116,'Material impact data'!$E$19:$AM$61,4,0)*$I116</f>
        <v>0</v>
      </c>
      <c r="AB116" s="180">
        <f>VLOOKUP($H116,'Material impact data'!$E$19:$AM$61,'Material impact data'!AB$15,0)/VLOOKUP($H116,'Material impact data'!$E$19:$AM$61,4,0)*$I116</f>
        <v>0</v>
      </c>
      <c r="AC116" s="180">
        <f>VLOOKUP($H116,'Material impact data'!$E$19:$AM$61,'Material impact data'!AC$15,0)/VLOOKUP($H116,'Material impact data'!$E$19:$AM$61,4,0)*$I116</f>
        <v>0</v>
      </c>
      <c r="AD116" s="180">
        <f>VLOOKUP($H116,'Material impact data'!$E$19:$AM$61,'Material impact data'!AD$15,0)/VLOOKUP($H116,'Material impact data'!$E$19:$AM$61,4,0)*$I116</f>
        <v>0</v>
      </c>
      <c r="AE116" s="180">
        <f>VLOOKUP($H116,'Material impact data'!$E$19:$AM$61,'Material impact data'!AE$15,0)/VLOOKUP($H116,'Material impact data'!$E$19:$AM$61,4,0)*$I116</f>
        <v>0</v>
      </c>
      <c r="AF116" s="180">
        <f>VLOOKUP($H116,'Material impact data'!$E$19:$AM$61,'Material impact data'!AF$15,0)/VLOOKUP($H116,'Material impact data'!$E$19:$AM$61,4,0)*$I116</f>
        <v>0</v>
      </c>
      <c r="AG116" s="179">
        <f>VLOOKUP($H116,'Material impact data'!$E$19:$AM$61,'Material impact data'!AG$15,0)/VLOOKUP($H116,'Material impact data'!$E$19:$AM$61,4,0)*$I116</f>
        <v>0</v>
      </c>
      <c r="AH116" s="179">
        <f>VLOOKUP($H116,'Material impact data'!$E$19:$AM$61,'Material impact data'!AH$15,0)/VLOOKUP($H116,'Material impact data'!$E$19:$AM$61,4,0)*$I116</f>
        <v>0</v>
      </c>
      <c r="AI116" s="179">
        <f>VLOOKUP($H116,'Material impact data'!$E$19:$AM$61,'Material impact data'!AI$15,0)/VLOOKUP($H116,'Material impact data'!$E$19:$AM$61,4,0)*$I116</f>
        <v>0</v>
      </c>
      <c r="AJ116" s="179">
        <f>VLOOKUP($H116,'Material impact data'!$E$19:$AM$61,'Material impact data'!AJ$15,0)/VLOOKUP($H116,'Material impact data'!$E$19:$AM$61,4,0)*$I116</f>
        <v>0</v>
      </c>
      <c r="AK116" s="179">
        <f>VLOOKUP($H116,'Material impact data'!$E$19:$AM$61,'Material impact data'!AK$15,0)/VLOOKUP($H116,'Material impact data'!$E$19:$AM$61,4,0)*$I116</f>
        <v>0</v>
      </c>
      <c r="AL116" s="179">
        <f>VLOOKUP($H116,'Material impact data'!$E$19:$AM$61,'Material impact data'!AL$15,0)/VLOOKUP($H116,'Material impact data'!$E$19:$AM$61,4,0)*$I116</f>
        <v>0</v>
      </c>
      <c r="AM116" s="179">
        <f>VLOOKUP($H116,'Material impact data'!$E$19:$AM$61,'Material impact data'!AM$15,0)/VLOOKUP($H116,'Material impact data'!$E$19:$AM$61,4,0)*$I116</f>
        <v>0</v>
      </c>
      <c r="AO116" s="189">
        <f>M116/'Building &amp; Material inputs'!$C$18/'Building &amp; Material inputs'!$C$19</f>
        <v>0</v>
      </c>
      <c r="AP116" s="189">
        <f>N116/'Building &amp; Material inputs'!$C$18/'Building &amp; Material inputs'!$C$19</f>
        <v>0</v>
      </c>
      <c r="AQ116" s="141">
        <f>O116/'Building &amp; Material inputs'!$C$18/'Building &amp; Material inputs'!$C$19</f>
        <v>0</v>
      </c>
      <c r="AR116" s="141">
        <f>P116/'Building &amp; Material inputs'!$C$18/'Building &amp; Material inputs'!$C$19</f>
        <v>0</v>
      </c>
      <c r="AS116" s="188">
        <f>Q116/'Building &amp; Material inputs'!$C$18/'Building &amp; Material inputs'!$C$19</f>
        <v>0</v>
      </c>
      <c r="AT116" s="188">
        <f>R116/'Building &amp; Material inputs'!$C$18/'Building &amp; Material inputs'!$C$19</f>
        <v>0</v>
      </c>
      <c r="AU116" s="189">
        <f>S116/'Building &amp; Material inputs'!$C$18/'Building &amp; Material inputs'!$C$19</f>
        <v>0</v>
      </c>
      <c r="AV116" s="189">
        <f>T116/'Building &amp; Material inputs'!$C$18/'Building &amp; Material inputs'!$C$19</f>
        <v>0</v>
      </c>
      <c r="AW116" s="189">
        <f>U116/'Building &amp; Material inputs'!$C$18/'Building &amp; Material inputs'!$C$19</f>
        <v>0</v>
      </c>
      <c r="AX116" s="189">
        <f>V116/'Building &amp; Material inputs'!$C$18/'Building &amp; Material inputs'!$C$19</f>
        <v>0</v>
      </c>
      <c r="AY116" s="189">
        <f>W116/'Building &amp; Material inputs'!$C$18/'Building &amp; Material inputs'!$C$19</f>
        <v>0</v>
      </c>
      <c r="AZ116" s="189">
        <f>X116/'Building &amp; Material inputs'!$C$18/'Building &amp; Material inputs'!$C$19</f>
        <v>0</v>
      </c>
      <c r="BA116" s="189">
        <f>Y116/'Building &amp; Material inputs'!$C$18/'Building &amp; Material inputs'!$C$19</f>
        <v>0</v>
      </c>
      <c r="BB116" s="141">
        <f>Z116/'Building &amp; Material inputs'!$C$18/'Building &amp; Material inputs'!$C$19</f>
        <v>0</v>
      </c>
      <c r="BC116" s="141">
        <f>AA116/'Building &amp; Material inputs'!$C$18/'Building &amp; Material inputs'!$C$19</f>
        <v>0</v>
      </c>
      <c r="BD116" s="141">
        <f>AB116/'Building &amp; Material inputs'!$C$18/'Building &amp; Material inputs'!$C$19</f>
        <v>0</v>
      </c>
      <c r="BE116" s="141">
        <f>AC116/'Building &amp; Material inputs'!$C$18/'Building &amp; Material inputs'!$C$19</f>
        <v>0</v>
      </c>
      <c r="BF116" s="141">
        <f>AD116/'Building &amp; Material inputs'!$C$18/'Building &amp; Material inputs'!$C$19</f>
        <v>0</v>
      </c>
      <c r="BG116" s="141">
        <f>AE116/'Building &amp; Material inputs'!$C$18/'Building &amp; Material inputs'!$C$19</f>
        <v>0</v>
      </c>
      <c r="BH116" s="141">
        <f>AF116/'Building &amp; Material inputs'!$C$18/'Building &amp; Material inputs'!$C$19</f>
        <v>0</v>
      </c>
      <c r="BI116" s="188">
        <f>AG116/'Building &amp; Material inputs'!$C$18/'Building &amp; Material inputs'!$C$19</f>
        <v>0</v>
      </c>
      <c r="BJ116" s="188">
        <f>AH116/'Building &amp; Material inputs'!$C$18/'Building &amp; Material inputs'!$C$19</f>
        <v>0</v>
      </c>
      <c r="BK116" s="188">
        <f>AI116/'Building &amp; Material inputs'!$C$18/'Building &amp; Material inputs'!$C$19</f>
        <v>0</v>
      </c>
      <c r="BL116" s="188">
        <f>AJ116/'Building &amp; Material inputs'!$C$18/'Building &amp; Material inputs'!$C$19</f>
        <v>0</v>
      </c>
      <c r="BM116" s="188">
        <f>AK116/'Building &amp; Material inputs'!$C$18/'Building &amp; Material inputs'!$C$19</f>
        <v>0</v>
      </c>
      <c r="BN116" s="188">
        <f>AL116/'Building &amp; Material inputs'!$C$18/'Building &amp; Material inputs'!$C$19</f>
        <v>0</v>
      </c>
      <c r="BO116" s="188">
        <f>AM116/'Building &amp; Material inputs'!$C$18/'Building &amp; Material inputs'!$C$19</f>
        <v>0</v>
      </c>
      <c r="BQ116" s="204" t="s">
        <v>672</v>
      </c>
      <c r="BR116" s="207">
        <f>$L$108</f>
        <v>49141.106065246509</v>
      </c>
      <c r="BS116">
        <v>48344.52</v>
      </c>
      <c r="BT116" s="194">
        <v>109581.07</v>
      </c>
      <c r="BU116" s="101"/>
      <c r="BV116" s="204" t="s">
        <v>664</v>
      </c>
      <c r="BW116" s="214">
        <f>$AU$108</f>
        <v>2.7196517560372286</v>
      </c>
      <c r="BX116" s="219">
        <f>$BB$108</f>
        <v>0.10195966764853721</v>
      </c>
      <c r="BY116" s="224">
        <f>$BI$108</f>
        <v>5.5638597354887367E-2</v>
      </c>
      <c r="CA116" s="204" t="s">
        <v>664</v>
      </c>
      <c r="CB116" s="216">
        <f>$AX$108</f>
        <v>6.9506175635787844E-3</v>
      </c>
      <c r="CC116" s="221">
        <f>$BE$108</f>
        <v>1.2216960805230708E-3</v>
      </c>
      <c r="CD116" s="226">
        <f>$BL$108</f>
        <v>8.1882847625138521E-5</v>
      </c>
    </row>
    <row r="117" spans="2:82" x14ac:dyDescent="0.25">
      <c r="B117" s="334"/>
      <c r="C117" s="305"/>
      <c r="D117" s="302"/>
      <c r="E117" s="303"/>
      <c r="F117" s="65" t="s">
        <v>207</v>
      </c>
      <c r="G117" s="66" t="s">
        <v>96</v>
      </c>
      <c r="H117" s="60" t="str">
        <f>'Material quantities'!G117</f>
        <v>GLT</v>
      </c>
      <c r="I117" s="38">
        <f>'Material quantities'!O117</f>
        <v>0</v>
      </c>
      <c r="J117" s="68" t="s">
        <v>14</v>
      </c>
      <c r="K117" s="2"/>
      <c r="L117" s="148">
        <f>VLOOKUP($H117,'Material impact data'!$E$19:$AM$61,6,0)/VLOOKUP($H117,'Material impact data'!$E$19:$AM$61,4,0)*$I117</f>
        <v>0</v>
      </c>
      <c r="M117" s="138">
        <f>VLOOKUP($H117,'Material impact data'!$E$19:$AM$61,'Material impact data'!M$15,0)/VLOOKUP($H117,'Material impact data'!$E$19:$AM$61,4,0)*$I117</f>
        <v>0</v>
      </c>
      <c r="N117" s="138">
        <f>VLOOKUP($H117,'Material impact data'!$E$19:$AM$61,'Material impact data'!N$15,0)/VLOOKUP($H117,'Material impact data'!$E$19:$AM$61,4,0)*$I117</f>
        <v>0</v>
      </c>
      <c r="O117" s="180">
        <f>VLOOKUP($H117,'Material impact data'!$E$19:$AM$61,'Material impact data'!O$15,0)/VLOOKUP($H117,'Material impact data'!$E$19:$AM$61,4,0)*$I117</f>
        <v>0</v>
      </c>
      <c r="P117" s="180">
        <f>VLOOKUP($H117,'Material impact data'!$E$19:$AM$61,'Material impact data'!P$15,0)/VLOOKUP($H117,'Material impact data'!$E$19:$AM$61,4,0)*$I117</f>
        <v>0</v>
      </c>
      <c r="Q117" s="179">
        <f>VLOOKUP($H117,'Material impact data'!$E$19:$AM$61,'Material impact data'!Q$15,0)/VLOOKUP($H117,'Material impact data'!$E$19:$AM$61,4,0)*$I117</f>
        <v>0</v>
      </c>
      <c r="R117" s="179">
        <f>VLOOKUP($H117,'Material impact data'!$E$19:$AM$61,'Material impact data'!R$15,0)/VLOOKUP($H117,'Material impact data'!$E$19:$AM$61,4,0)*$I117</f>
        <v>0</v>
      </c>
      <c r="S117" s="138">
        <f>VLOOKUP($H117,'Material impact data'!$E$19:$AM$61,'Material impact data'!S$15,0)/VLOOKUP($H117,'Material impact data'!$E$19:$AM$61,4,0)*$I117</f>
        <v>0</v>
      </c>
      <c r="T117" s="138">
        <f>VLOOKUP($H117,'Material impact data'!$E$19:$AM$61,'Material impact data'!T$15,0)/VLOOKUP($H117,'Material impact data'!$E$19:$AM$61,4,0)*$I117</f>
        <v>0</v>
      </c>
      <c r="U117" s="138">
        <f>VLOOKUP($H117,'Material impact data'!$E$19:$AM$61,'Material impact data'!U$15,0)/VLOOKUP($H117,'Material impact data'!$E$19:$AM$61,4,0)*$I117</f>
        <v>0</v>
      </c>
      <c r="V117" s="138">
        <f>VLOOKUP($H117,'Material impact data'!$E$19:$AM$61,'Material impact data'!V$15,0)/VLOOKUP($H117,'Material impact data'!$E$19:$AM$61,4,0)*$I117</f>
        <v>0</v>
      </c>
      <c r="W117" s="138">
        <f>VLOOKUP($H117,'Material impact data'!$E$19:$AM$61,'Material impact data'!W$15,0)/VLOOKUP($H117,'Material impact data'!$E$19:$AM$61,4,0)*$I117</f>
        <v>0</v>
      </c>
      <c r="X117" s="138">
        <f>VLOOKUP($H117,'Material impact data'!$E$19:$AM$61,'Material impact data'!X$15,0)/VLOOKUP($H117,'Material impact data'!$E$19:$AM$61,4,0)*$I117</f>
        <v>0</v>
      </c>
      <c r="Y117" s="138">
        <f>VLOOKUP($H117,'Material impact data'!$E$19:$AM$61,'Material impact data'!Y$15,0)/VLOOKUP($H117,'Material impact data'!$E$19:$AM$61,4,0)*$I117</f>
        <v>0</v>
      </c>
      <c r="Z117" s="180">
        <f>VLOOKUP($H117,'Material impact data'!$E$19:$AM$61,'Material impact data'!Z$15,0)/VLOOKUP($H117,'Material impact data'!$E$19:$AM$61,4,0)*$I117</f>
        <v>0</v>
      </c>
      <c r="AA117" s="180">
        <f>VLOOKUP($H117,'Material impact data'!$E$19:$AM$61,'Material impact data'!AA$15,0)/VLOOKUP($H117,'Material impact data'!$E$19:$AM$61,4,0)*$I117</f>
        <v>0</v>
      </c>
      <c r="AB117" s="180">
        <f>VLOOKUP($H117,'Material impact data'!$E$19:$AM$61,'Material impact data'!AB$15,0)/VLOOKUP($H117,'Material impact data'!$E$19:$AM$61,4,0)*$I117</f>
        <v>0</v>
      </c>
      <c r="AC117" s="180">
        <f>VLOOKUP($H117,'Material impact data'!$E$19:$AM$61,'Material impact data'!AC$15,0)/VLOOKUP($H117,'Material impact data'!$E$19:$AM$61,4,0)*$I117</f>
        <v>0</v>
      </c>
      <c r="AD117" s="180">
        <f>VLOOKUP($H117,'Material impact data'!$E$19:$AM$61,'Material impact data'!AD$15,0)/VLOOKUP($H117,'Material impact data'!$E$19:$AM$61,4,0)*$I117</f>
        <v>0</v>
      </c>
      <c r="AE117" s="180">
        <f>VLOOKUP($H117,'Material impact data'!$E$19:$AM$61,'Material impact data'!AE$15,0)/VLOOKUP($H117,'Material impact data'!$E$19:$AM$61,4,0)*$I117</f>
        <v>0</v>
      </c>
      <c r="AF117" s="180">
        <f>VLOOKUP($H117,'Material impact data'!$E$19:$AM$61,'Material impact data'!AF$15,0)/VLOOKUP($H117,'Material impact data'!$E$19:$AM$61,4,0)*$I117</f>
        <v>0</v>
      </c>
      <c r="AG117" s="179">
        <f>VLOOKUP($H117,'Material impact data'!$E$19:$AM$61,'Material impact data'!AG$15,0)/VLOOKUP($H117,'Material impact data'!$E$19:$AM$61,4,0)*$I117</f>
        <v>0</v>
      </c>
      <c r="AH117" s="179">
        <f>VLOOKUP($H117,'Material impact data'!$E$19:$AM$61,'Material impact data'!AH$15,0)/VLOOKUP($H117,'Material impact data'!$E$19:$AM$61,4,0)*$I117</f>
        <v>0</v>
      </c>
      <c r="AI117" s="179">
        <f>VLOOKUP($H117,'Material impact data'!$E$19:$AM$61,'Material impact data'!AI$15,0)/VLOOKUP($H117,'Material impact data'!$E$19:$AM$61,4,0)*$I117</f>
        <v>0</v>
      </c>
      <c r="AJ117" s="179">
        <f>VLOOKUP($H117,'Material impact data'!$E$19:$AM$61,'Material impact data'!AJ$15,0)/VLOOKUP($H117,'Material impact data'!$E$19:$AM$61,4,0)*$I117</f>
        <v>0</v>
      </c>
      <c r="AK117" s="179">
        <f>VLOOKUP($H117,'Material impact data'!$E$19:$AM$61,'Material impact data'!AK$15,0)/VLOOKUP($H117,'Material impact data'!$E$19:$AM$61,4,0)*$I117</f>
        <v>0</v>
      </c>
      <c r="AL117" s="179">
        <f>VLOOKUP($H117,'Material impact data'!$E$19:$AM$61,'Material impact data'!AL$15,0)/VLOOKUP($H117,'Material impact data'!$E$19:$AM$61,4,0)*$I117</f>
        <v>0</v>
      </c>
      <c r="AM117" s="179">
        <f>VLOOKUP($H117,'Material impact data'!$E$19:$AM$61,'Material impact data'!AM$15,0)/VLOOKUP($H117,'Material impact data'!$E$19:$AM$61,4,0)*$I117</f>
        <v>0</v>
      </c>
      <c r="AO117" s="189">
        <f>M117/'Building &amp; Material inputs'!$C$18/'Building &amp; Material inputs'!$C$19</f>
        <v>0</v>
      </c>
      <c r="AP117" s="189">
        <f>N117/'Building &amp; Material inputs'!$C$18/'Building &amp; Material inputs'!$C$19</f>
        <v>0</v>
      </c>
      <c r="AQ117" s="141">
        <f>O117/'Building &amp; Material inputs'!$C$18/'Building &amp; Material inputs'!$C$19</f>
        <v>0</v>
      </c>
      <c r="AR117" s="141">
        <f>P117/'Building &amp; Material inputs'!$C$18/'Building &amp; Material inputs'!$C$19</f>
        <v>0</v>
      </c>
      <c r="AS117" s="188">
        <f>Q117/'Building &amp; Material inputs'!$C$18/'Building &amp; Material inputs'!$C$19</f>
        <v>0</v>
      </c>
      <c r="AT117" s="188">
        <f>R117/'Building &amp; Material inputs'!$C$18/'Building &amp; Material inputs'!$C$19</f>
        <v>0</v>
      </c>
      <c r="AU117" s="189">
        <f>S117/'Building &amp; Material inputs'!$C$18/'Building &amp; Material inputs'!$C$19</f>
        <v>0</v>
      </c>
      <c r="AV117" s="189">
        <f>T117/'Building &amp; Material inputs'!$C$18/'Building &amp; Material inputs'!$C$19</f>
        <v>0</v>
      </c>
      <c r="AW117" s="189">
        <f>U117/'Building &amp; Material inputs'!$C$18/'Building &amp; Material inputs'!$C$19</f>
        <v>0</v>
      </c>
      <c r="AX117" s="189">
        <f>V117/'Building &amp; Material inputs'!$C$18/'Building &amp; Material inputs'!$C$19</f>
        <v>0</v>
      </c>
      <c r="AY117" s="189">
        <f>W117/'Building &amp; Material inputs'!$C$18/'Building &amp; Material inputs'!$C$19</f>
        <v>0</v>
      </c>
      <c r="AZ117" s="189">
        <f>X117/'Building &amp; Material inputs'!$C$18/'Building &amp; Material inputs'!$C$19</f>
        <v>0</v>
      </c>
      <c r="BA117" s="189">
        <f>Y117/'Building &amp; Material inputs'!$C$18/'Building &amp; Material inputs'!$C$19</f>
        <v>0</v>
      </c>
      <c r="BB117" s="141">
        <f>Z117/'Building &amp; Material inputs'!$C$18/'Building &amp; Material inputs'!$C$19</f>
        <v>0</v>
      </c>
      <c r="BC117" s="141">
        <f>AA117/'Building &amp; Material inputs'!$C$18/'Building &amp; Material inputs'!$C$19</f>
        <v>0</v>
      </c>
      <c r="BD117" s="141">
        <f>AB117/'Building &amp; Material inputs'!$C$18/'Building &amp; Material inputs'!$C$19</f>
        <v>0</v>
      </c>
      <c r="BE117" s="141">
        <f>AC117/'Building &amp; Material inputs'!$C$18/'Building &amp; Material inputs'!$C$19</f>
        <v>0</v>
      </c>
      <c r="BF117" s="141">
        <f>AD117/'Building &amp; Material inputs'!$C$18/'Building &amp; Material inputs'!$C$19</f>
        <v>0</v>
      </c>
      <c r="BG117" s="141">
        <f>AE117/'Building &amp; Material inputs'!$C$18/'Building &amp; Material inputs'!$C$19</f>
        <v>0</v>
      </c>
      <c r="BH117" s="141">
        <f>AF117/'Building &amp; Material inputs'!$C$18/'Building &amp; Material inputs'!$C$19</f>
        <v>0</v>
      </c>
      <c r="BI117" s="188">
        <f>AG117/'Building &amp; Material inputs'!$C$18/'Building &amp; Material inputs'!$C$19</f>
        <v>0</v>
      </c>
      <c r="BJ117" s="188">
        <f>AH117/'Building &amp; Material inputs'!$C$18/'Building &amp; Material inputs'!$C$19</f>
        <v>0</v>
      </c>
      <c r="BK117" s="188">
        <f>AI117/'Building &amp; Material inputs'!$C$18/'Building &amp; Material inputs'!$C$19</f>
        <v>0</v>
      </c>
      <c r="BL117" s="188">
        <f>AJ117/'Building &amp; Material inputs'!$C$18/'Building &amp; Material inputs'!$C$19</f>
        <v>0</v>
      </c>
      <c r="BM117" s="188">
        <f>AK117/'Building &amp; Material inputs'!$C$18/'Building &amp; Material inputs'!$C$19</f>
        <v>0</v>
      </c>
      <c r="BN117" s="188">
        <f>AL117/'Building &amp; Material inputs'!$C$18/'Building &amp; Material inputs'!$C$19</f>
        <v>0</v>
      </c>
      <c r="BO117" s="188">
        <f>AM117/'Building &amp; Material inputs'!$C$18/'Building &amp; Material inputs'!$C$19</f>
        <v>0</v>
      </c>
      <c r="BQ117" s="204" t="s">
        <v>673</v>
      </c>
      <c r="BR117" s="207">
        <f>$L$126</f>
        <v>76016.46362617251</v>
      </c>
      <c r="BS117">
        <v>76016.460000000006</v>
      </c>
      <c r="BT117" s="194">
        <v>111899.22</v>
      </c>
      <c r="BU117" s="101"/>
      <c r="BV117" s="204" t="s">
        <v>665</v>
      </c>
      <c r="BW117" s="214">
        <f>$AU$126</f>
        <v>3.5669990012647061</v>
      </c>
      <c r="BX117" s="219">
        <f>$BB$126</f>
        <v>0.67222389027977913</v>
      </c>
      <c r="BY117" s="224">
        <f>$BI$126</f>
        <v>0.94338355054574452</v>
      </c>
      <c r="CA117" s="204" t="s">
        <v>665</v>
      </c>
      <c r="CB117" s="216">
        <f>$AX$126</f>
        <v>9.1286523207483542E-3</v>
      </c>
      <c r="CC117" s="221">
        <f>$BE$126</f>
        <v>1.4237210602479077E-4</v>
      </c>
      <c r="CD117" s="226">
        <f>$BL$126</f>
        <v>9.4245903887693144E-5</v>
      </c>
    </row>
    <row r="118" spans="2:82" ht="15.75" thickBot="1" x14ac:dyDescent="0.3">
      <c r="B118" s="334"/>
      <c r="C118" s="305"/>
      <c r="D118" s="302"/>
      <c r="E118" s="303"/>
      <c r="F118" s="65" t="s">
        <v>606</v>
      </c>
      <c r="G118" s="66" t="s">
        <v>104</v>
      </c>
      <c r="H118" s="60" t="str">
        <f>'Material quantities'!G118</f>
        <v>WCLA</v>
      </c>
      <c r="I118" s="38">
        <f>'Material quantities'!O118</f>
        <v>0</v>
      </c>
      <c r="J118" s="68" t="s">
        <v>332</v>
      </c>
      <c r="K118" s="2"/>
      <c r="L118" s="148">
        <f>VLOOKUP($H118,'Material impact data'!$E$19:$AM$61,6,0)/VLOOKUP($H118,'Material impact data'!$E$19:$AM$61,4,0)*$I118</f>
        <v>0</v>
      </c>
      <c r="M118" s="138">
        <f>VLOOKUP($H118,'Material impact data'!$E$19:$AM$61,'Material impact data'!M$15,0)/VLOOKUP($H118,'Material impact data'!$E$19:$AM$61,4,0)*$I118</f>
        <v>0</v>
      </c>
      <c r="N118" s="138">
        <f>VLOOKUP($H118,'Material impact data'!$E$19:$AM$61,'Material impact data'!N$15,0)/VLOOKUP($H118,'Material impact data'!$E$19:$AM$61,4,0)*$I118</f>
        <v>0</v>
      </c>
      <c r="O118" s="180">
        <f>VLOOKUP($H118,'Material impact data'!$E$19:$AM$61,'Material impact data'!O$15,0)/VLOOKUP($H118,'Material impact data'!$E$19:$AM$61,4,0)*$I118</f>
        <v>0</v>
      </c>
      <c r="P118" s="180">
        <f>VLOOKUP($H118,'Material impact data'!$E$19:$AM$61,'Material impact data'!P$15,0)/VLOOKUP($H118,'Material impact data'!$E$19:$AM$61,4,0)*$I118</f>
        <v>0</v>
      </c>
      <c r="Q118" s="179">
        <f>VLOOKUP($H118,'Material impact data'!$E$19:$AM$61,'Material impact data'!Q$15,0)/VLOOKUP($H118,'Material impact data'!$E$19:$AM$61,4,0)*$I118</f>
        <v>0</v>
      </c>
      <c r="R118" s="179">
        <f>VLOOKUP($H118,'Material impact data'!$E$19:$AM$61,'Material impact data'!R$15,0)/VLOOKUP($H118,'Material impact data'!$E$19:$AM$61,4,0)*$I118</f>
        <v>0</v>
      </c>
      <c r="S118" s="138">
        <f>VLOOKUP($H118,'Material impact data'!$E$19:$AM$61,'Material impact data'!S$15,0)/VLOOKUP($H118,'Material impact data'!$E$19:$AM$61,4,0)*$I118</f>
        <v>0</v>
      </c>
      <c r="T118" s="138">
        <f>VLOOKUP($H118,'Material impact data'!$E$19:$AM$61,'Material impact data'!T$15,0)/VLOOKUP($H118,'Material impact data'!$E$19:$AM$61,4,0)*$I118</f>
        <v>0</v>
      </c>
      <c r="U118" s="138">
        <f>VLOOKUP($H118,'Material impact data'!$E$19:$AM$61,'Material impact data'!U$15,0)/VLOOKUP($H118,'Material impact data'!$E$19:$AM$61,4,0)*$I118</f>
        <v>0</v>
      </c>
      <c r="V118" s="138">
        <f>VLOOKUP($H118,'Material impact data'!$E$19:$AM$61,'Material impact data'!V$15,0)/VLOOKUP($H118,'Material impact data'!$E$19:$AM$61,4,0)*$I118</f>
        <v>0</v>
      </c>
      <c r="W118" s="138">
        <f>VLOOKUP($H118,'Material impact data'!$E$19:$AM$61,'Material impact data'!W$15,0)/VLOOKUP($H118,'Material impact data'!$E$19:$AM$61,4,0)*$I118</f>
        <v>0</v>
      </c>
      <c r="X118" s="138">
        <f>VLOOKUP($H118,'Material impact data'!$E$19:$AM$61,'Material impact data'!X$15,0)/VLOOKUP($H118,'Material impact data'!$E$19:$AM$61,4,0)*$I118</f>
        <v>0</v>
      </c>
      <c r="Y118" s="138">
        <f>VLOOKUP($H118,'Material impact data'!$E$19:$AM$61,'Material impact data'!Y$15,0)/VLOOKUP($H118,'Material impact data'!$E$19:$AM$61,4,0)*$I118</f>
        <v>0</v>
      </c>
      <c r="Z118" s="180">
        <f>VLOOKUP($H118,'Material impact data'!$E$19:$AM$61,'Material impact data'!Z$15,0)/VLOOKUP($H118,'Material impact data'!$E$19:$AM$61,4,0)*$I118</f>
        <v>0</v>
      </c>
      <c r="AA118" s="180">
        <f>VLOOKUP($H118,'Material impact data'!$E$19:$AM$61,'Material impact data'!AA$15,0)/VLOOKUP($H118,'Material impact data'!$E$19:$AM$61,4,0)*$I118</f>
        <v>0</v>
      </c>
      <c r="AB118" s="180">
        <f>VLOOKUP($H118,'Material impact data'!$E$19:$AM$61,'Material impact data'!AB$15,0)/VLOOKUP($H118,'Material impact data'!$E$19:$AM$61,4,0)*$I118</f>
        <v>0</v>
      </c>
      <c r="AC118" s="180">
        <f>VLOOKUP($H118,'Material impact data'!$E$19:$AM$61,'Material impact data'!AC$15,0)/VLOOKUP($H118,'Material impact data'!$E$19:$AM$61,4,0)*$I118</f>
        <v>0</v>
      </c>
      <c r="AD118" s="180">
        <f>VLOOKUP($H118,'Material impact data'!$E$19:$AM$61,'Material impact data'!AD$15,0)/VLOOKUP($H118,'Material impact data'!$E$19:$AM$61,4,0)*$I118</f>
        <v>0</v>
      </c>
      <c r="AE118" s="180">
        <f>VLOOKUP($H118,'Material impact data'!$E$19:$AM$61,'Material impact data'!AE$15,0)/VLOOKUP($H118,'Material impact data'!$E$19:$AM$61,4,0)*$I118</f>
        <v>0</v>
      </c>
      <c r="AF118" s="180">
        <f>VLOOKUP($H118,'Material impact data'!$E$19:$AM$61,'Material impact data'!AF$15,0)/VLOOKUP($H118,'Material impact data'!$E$19:$AM$61,4,0)*$I118</f>
        <v>0</v>
      </c>
      <c r="AG118" s="179">
        <f>VLOOKUP($H118,'Material impact data'!$E$19:$AM$61,'Material impact data'!AG$15,0)/VLOOKUP($H118,'Material impact data'!$E$19:$AM$61,4,0)*$I118</f>
        <v>0</v>
      </c>
      <c r="AH118" s="179">
        <f>VLOOKUP($H118,'Material impact data'!$E$19:$AM$61,'Material impact data'!AH$15,0)/VLOOKUP($H118,'Material impact data'!$E$19:$AM$61,4,0)*$I118</f>
        <v>0</v>
      </c>
      <c r="AI118" s="179">
        <f>VLOOKUP($H118,'Material impact data'!$E$19:$AM$61,'Material impact data'!AI$15,0)/VLOOKUP($H118,'Material impact data'!$E$19:$AM$61,4,0)*$I118</f>
        <v>0</v>
      </c>
      <c r="AJ118" s="179">
        <f>VLOOKUP($H118,'Material impact data'!$E$19:$AM$61,'Material impact data'!AJ$15,0)/VLOOKUP($H118,'Material impact data'!$E$19:$AM$61,4,0)*$I118</f>
        <v>0</v>
      </c>
      <c r="AK118" s="179">
        <f>VLOOKUP($H118,'Material impact data'!$E$19:$AM$61,'Material impact data'!AK$15,0)/VLOOKUP($H118,'Material impact data'!$E$19:$AM$61,4,0)*$I118</f>
        <v>0</v>
      </c>
      <c r="AL118" s="179">
        <f>VLOOKUP($H118,'Material impact data'!$E$19:$AM$61,'Material impact data'!AL$15,0)/VLOOKUP($H118,'Material impact data'!$E$19:$AM$61,4,0)*$I118</f>
        <v>0</v>
      </c>
      <c r="AM118" s="179">
        <f>VLOOKUP($H118,'Material impact data'!$E$19:$AM$61,'Material impact data'!AM$15,0)/VLOOKUP($H118,'Material impact data'!$E$19:$AM$61,4,0)*$I118</f>
        <v>0</v>
      </c>
      <c r="AO118" s="189">
        <f>M118/'Building &amp; Material inputs'!$C$18/'Building &amp; Material inputs'!$C$19</f>
        <v>0</v>
      </c>
      <c r="AP118" s="189">
        <f>N118/'Building &amp; Material inputs'!$C$18/'Building &amp; Material inputs'!$C$19</f>
        <v>0</v>
      </c>
      <c r="AQ118" s="141">
        <f>O118/'Building &amp; Material inputs'!$C$18/'Building &amp; Material inputs'!$C$19</f>
        <v>0</v>
      </c>
      <c r="AR118" s="141">
        <f>P118/'Building &amp; Material inputs'!$C$18/'Building &amp; Material inputs'!$C$19</f>
        <v>0</v>
      </c>
      <c r="AS118" s="188">
        <f>Q118/'Building &amp; Material inputs'!$C$18/'Building &amp; Material inputs'!$C$19</f>
        <v>0</v>
      </c>
      <c r="AT118" s="188">
        <f>R118/'Building &amp; Material inputs'!$C$18/'Building &amp; Material inputs'!$C$19</f>
        <v>0</v>
      </c>
      <c r="AU118" s="189">
        <f>S118/'Building &amp; Material inputs'!$C$18/'Building &amp; Material inputs'!$C$19</f>
        <v>0</v>
      </c>
      <c r="AV118" s="189">
        <f>T118/'Building &amp; Material inputs'!$C$18/'Building &amp; Material inputs'!$C$19</f>
        <v>0</v>
      </c>
      <c r="AW118" s="189">
        <f>U118/'Building &amp; Material inputs'!$C$18/'Building &amp; Material inputs'!$C$19</f>
        <v>0</v>
      </c>
      <c r="AX118" s="189">
        <f>V118/'Building &amp; Material inputs'!$C$18/'Building &amp; Material inputs'!$C$19</f>
        <v>0</v>
      </c>
      <c r="AY118" s="189">
        <f>W118/'Building &amp; Material inputs'!$C$18/'Building &amp; Material inputs'!$C$19</f>
        <v>0</v>
      </c>
      <c r="AZ118" s="189">
        <f>X118/'Building &amp; Material inputs'!$C$18/'Building &amp; Material inputs'!$C$19</f>
        <v>0</v>
      </c>
      <c r="BA118" s="189">
        <f>Y118/'Building &amp; Material inputs'!$C$18/'Building &amp; Material inputs'!$C$19</f>
        <v>0</v>
      </c>
      <c r="BB118" s="141">
        <f>Z118/'Building &amp; Material inputs'!$C$18/'Building &amp; Material inputs'!$C$19</f>
        <v>0</v>
      </c>
      <c r="BC118" s="141">
        <f>AA118/'Building &amp; Material inputs'!$C$18/'Building &amp; Material inputs'!$C$19</f>
        <v>0</v>
      </c>
      <c r="BD118" s="141">
        <f>AB118/'Building &amp; Material inputs'!$C$18/'Building &amp; Material inputs'!$C$19</f>
        <v>0</v>
      </c>
      <c r="BE118" s="141">
        <f>AC118/'Building &amp; Material inputs'!$C$18/'Building &amp; Material inputs'!$C$19</f>
        <v>0</v>
      </c>
      <c r="BF118" s="141">
        <f>AD118/'Building &amp; Material inputs'!$C$18/'Building &amp; Material inputs'!$C$19</f>
        <v>0</v>
      </c>
      <c r="BG118" s="141">
        <f>AE118/'Building &amp; Material inputs'!$C$18/'Building &amp; Material inputs'!$C$19</f>
        <v>0</v>
      </c>
      <c r="BH118" s="141">
        <f>AF118/'Building &amp; Material inputs'!$C$18/'Building &amp; Material inputs'!$C$19</f>
        <v>0</v>
      </c>
      <c r="BI118" s="188">
        <f>AG118/'Building &amp; Material inputs'!$C$18/'Building &amp; Material inputs'!$C$19</f>
        <v>0</v>
      </c>
      <c r="BJ118" s="188">
        <f>AH118/'Building &amp; Material inputs'!$C$18/'Building &amp; Material inputs'!$C$19</f>
        <v>0</v>
      </c>
      <c r="BK118" s="188">
        <f>AI118/'Building &amp; Material inputs'!$C$18/'Building &amp; Material inputs'!$C$19</f>
        <v>0</v>
      </c>
      <c r="BL118" s="188">
        <f>AJ118/'Building &amp; Material inputs'!$C$18/'Building &amp; Material inputs'!$C$19</f>
        <v>0</v>
      </c>
      <c r="BM118" s="188">
        <f>AK118/'Building &amp; Material inputs'!$C$18/'Building &amp; Material inputs'!$C$19</f>
        <v>0</v>
      </c>
      <c r="BN118" s="188">
        <f>AL118/'Building &amp; Material inputs'!$C$18/'Building &amp; Material inputs'!$C$19</f>
        <v>0</v>
      </c>
      <c r="BO118" s="188">
        <f>AM118/'Building &amp; Material inputs'!$C$18/'Building &amp; Material inputs'!$C$19</f>
        <v>0</v>
      </c>
      <c r="BQ118" s="47" t="s">
        <v>674</v>
      </c>
      <c r="BR118" s="208">
        <f>$L$140</f>
        <v>22345.175722452772</v>
      </c>
      <c r="BS118" s="209">
        <v>19907.13</v>
      </c>
      <c r="BT118" s="196">
        <v>19647.87</v>
      </c>
      <c r="BU118" s="101"/>
      <c r="BV118" s="47" t="s">
        <v>666</v>
      </c>
      <c r="BW118" s="215">
        <f>$AU$140</f>
        <v>0.9854520484641055</v>
      </c>
      <c r="BX118" s="220">
        <f>$BB$140</f>
        <v>3.7571636146045306E-2</v>
      </c>
      <c r="BY118" s="225">
        <f>$BI$140</f>
        <v>7.1558163554204718E-2</v>
      </c>
      <c r="CA118" s="47" t="s">
        <v>666</v>
      </c>
      <c r="CB118" s="217">
        <f>$AX$140</f>
        <v>4.5291415496108156E-3</v>
      </c>
      <c r="CC118" s="222">
        <f>$BE$140</f>
        <v>1.8958465173719372E-4</v>
      </c>
      <c r="CD118" s="227">
        <f>$BL$140</f>
        <v>1.3400498537389092E-4</v>
      </c>
    </row>
    <row r="119" spans="2:82" ht="15.75" thickBot="1" x14ac:dyDescent="0.3">
      <c r="B119" s="334"/>
      <c r="C119" s="305"/>
      <c r="D119" s="302"/>
      <c r="E119" s="317" t="s">
        <v>165</v>
      </c>
      <c r="F119" s="83" t="s">
        <v>208</v>
      </c>
      <c r="G119" s="84" t="s">
        <v>367</v>
      </c>
      <c r="H119" s="60" t="str">
        <f>'Material quantities'!G119</f>
        <v>GYP_P</v>
      </c>
      <c r="I119" s="38">
        <f>'Material quantities'!O119</f>
        <v>0</v>
      </c>
      <c r="J119" s="62" t="s">
        <v>332</v>
      </c>
      <c r="K119" s="2"/>
      <c r="L119" s="148">
        <f>VLOOKUP($H119,'Material impact data'!$E$19:$AM$61,6,0)/VLOOKUP($H119,'Material impact data'!$E$19:$AM$61,4,0)*$I119</f>
        <v>0</v>
      </c>
      <c r="M119" s="138">
        <f>VLOOKUP($H119,'Material impact data'!$E$19:$AM$61,'Material impact data'!M$15,0)/VLOOKUP($H119,'Material impact data'!$E$19:$AM$61,4,0)*$I119</f>
        <v>0</v>
      </c>
      <c r="N119" s="138">
        <f>VLOOKUP($H119,'Material impact data'!$E$19:$AM$61,'Material impact data'!N$15,0)/VLOOKUP($H119,'Material impact data'!$E$19:$AM$61,4,0)*$I119</f>
        <v>0</v>
      </c>
      <c r="O119" s="180">
        <f>VLOOKUP($H119,'Material impact data'!$E$19:$AM$61,'Material impact data'!O$15,0)/VLOOKUP($H119,'Material impact data'!$E$19:$AM$61,4,0)*$I119</f>
        <v>0</v>
      </c>
      <c r="P119" s="180">
        <f>VLOOKUP($H119,'Material impact data'!$E$19:$AM$61,'Material impact data'!P$15,0)/VLOOKUP($H119,'Material impact data'!$E$19:$AM$61,4,0)*$I119</f>
        <v>0</v>
      </c>
      <c r="Q119" s="179">
        <f>VLOOKUP($H119,'Material impact data'!$E$19:$AM$61,'Material impact data'!Q$15,0)/VLOOKUP($H119,'Material impact data'!$E$19:$AM$61,4,0)*$I119</f>
        <v>0</v>
      </c>
      <c r="R119" s="179">
        <f>VLOOKUP($H119,'Material impact data'!$E$19:$AM$61,'Material impact data'!R$15,0)/VLOOKUP($H119,'Material impact data'!$E$19:$AM$61,4,0)*$I119</f>
        <v>0</v>
      </c>
      <c r="S119" s="138">
        <f>VLOOKUP($H119,'Material impact data'!$E$19:$AM$61,'Material impact data'!S$15,0)/VLOOKUP($H119,'Material impact data'!$E$19:$AM$61,4,0)*$I119</f>
        <v>0</v>
      </c>
      <c r="T119" s="138">
        <f>VLOOKUP($H119,'Material impact data'!$E$19:$AM$61,'Material impact data'!T$15,0)/VLOOKUP($H119,'Material impact data'!$E$19:$AM$61,4,0)*$I119</f>
        <v>0</v>
      </c>
      <c r="U119" s="138">
        <f>VLOOKUP($H119,'Material impact data'!$E$19:$AM$61,'Material impact data'!U$15,0)/VLOOKUP($H119,'Material impact data'!$E$19:$AM$61,4,0)*$I119</f>
        <v>0</v>
      </c>
      <c r="V119" s="138">
        <f>VLOOKUP($H119,'Material impact data'!$E$19:$AM$61,'Material impact data'!V$15,0)/VLOOKUP($H119,'Material impact data'!$E$19:$AM$61,4,0)*$I119</f>
        <v>0</v>
      </c>
      <c r="W119" s="138">
        <f>VLOOKUP($H119,'Material impact data'!$E$19:$AM$61,'Material impact data'!W$15,0)/VLOOKUP($H119,'Material impact data'!$E$19:$AM$61,4,0)*$I119</f>
        <v>0</v>
      </c>
      <c r="X119" s="138">
        <f>VLOOKUP($H119,'Material impact data'!$E$19:$AM$61,'Material impact data'!X$15,0)/VLOOKUP($H119,'Material impact data'!$E$19:$AM$61,4,0)*$I119</f>
        <v>0</v>
      </c>
      <c r="Y119" s="138">
        <f>VLOOKUP($H119,'Material impact data'!$E$19:$AM$61,'Material impact data'!Y$15,0)/VLOOKUP($H119,'Material impact data'!$E$19:$AM$61,4,0)*$I119</f>
        <v>0</v>
      </c>
      <c r="Z119" s="180">
        <f>VLOOKUP($H119,'Material impact data'!$E$19:$AM$61,'Material impact data'!Z$15,0)/VLOOKUP($H119,'Material impact data'!$E$19:$AM$61,4,0)*$I119</f>
        <v>0</v>
      </c>
      <c r="AA119" s="180">
        <f>VLOOKUP($H119,'Material impact data'!$E$19:$AM$61,'Material impact data'!AA$15,0)/VLOOKUP($H119,'Material impact data'!$E$19:$AM$61,4,0)*$I119</f>
        <v>0</v>
      </c>
      <c r="AB119" s="180">
        <f>VLOOKUP($H119,'Material impact data'!$E$19:$AM$61,'Material impact data'!AB$15,0)/VLOOKUP($H119,'Material impact data'!$E$19:$AM$61,4,0)*$I119</f>
        <v>0</v>
      </c>
      <c r="AC119" s="180">
        <f>VLOOKUP($H119,'Material impact data'!$E$19:$AM$61,'Material impact data'!AC$15,0)/VLOOKUP($H119,'Material impact data'!$E$19:$AM$61,4,0)*$I119</f>
        <v>0</v>
      </c>
      <c r="AD119" s="180">
        <f>VLOOKUP($H119,'Material impact data'!$E$19:$AM$61,'Material impact data'!AD$15,0)/VLOOKUP($H119,'Material impact data'!$E$19:$AM$61,4,0)*$I119</f>
        <v>0</v>
      </c>
      <c r="AE119" s="180">
        <f>VLOOKUP($H119,'Material impact data'!$E$19:$AM$61,'Material impact data'!AE$15,0)/VLOOKUP($H119,'Material impact data'!$E$19:$AM$61,4,0)*$I119</f>
        <v>0</v>
      </c>
      <c r="AF119" s="180">
        <f>VLOOKUP($H119,'Material impact data'!$E$19:$AM$61,'Material impact data'!AF$15,0)/VLOOKUP($H119,'Material impact data'!$E$19:$AM$61,4,0)*$I119</f>
        <v>0</v>
      </c>
      <c r="AG119" s="179">
        <f>VLOOKUP($H119,'Material impact data'!$E$19:$AM$61,'Material impact data'!AG$15,0)/VLOOKUP($H119,'Material impact data'!$E$19:$AM$61,4,0)*$I119</f>
        <v>0</v>
      </c>
      <c r="AH119" s="179">
        <f>VLOOKUP($H119,'Material impact data'!$E$19:$AM$61,'Material impact data'!AH$15,0)/VLOOKUP($H119,'Material impact data'!$E$19:$AM$61,4,0)*$I119</f>
        <v>0</v>
      </c>
      <c r="AI119" s="179">
        <f>VLOOKUP($H119,'Material impact data'!$E$19:$AM$61,'Material impact data'!AI$15,0)/VLOOKUP($H119,'Material impact data'!$E$19:$AM$61,4,0)*$I119</f>
        <v>0</v>
      </c>
      <c r="AJ119" s="179">
        <f>VLOOKUP($H119,'Material impact data'!$E$19:$AM$61,'Material impact data'!AJ$15,0)/VLOOKUP($H119,'Material impact data'!$E$19:$AM$61,4,0)*$I119</f>
        <v>0</v>
      </c>
      <c r="AK119" s="179">
        <f>VLOOKUP($H119,'Material impact data'!$E$19:$AM$61,'Material impact data'!AK$15,0)/VLOOKUP($H119,'Material impact data'!$E$19:$AM$61,4,0)*$I119</f>
        <v>0</v>
      </c>
      <c r="AL119" s="179">
        <f>VLOOKUP($H119,'Material impact data'!$E$19:$AM$61,'Material impact data'!AL$15,0)/VLOOKUP($H119,'Material impact data'!$E$19:$AM$61,4,0)*$I119</f>
        <v>0</v>
      </c>
      <c r="AM119" s="179">
        <f>VLOOKUP($H119,'Material impact data'!$E$19:$AM$61,'Material impact data'!AM$15,0)/VLOOKUP($H119,'Material impact data'!$E$19:$AM$61,4,0)*$I119</f>
        <v>0</v>
      </c>
      <c r="AO119" s="189">
        <f>M119/'Building &amp; Material inputs'!$C$18/'Building &amp; Material inputs'!$C$19</f>
        <v>0</v>
      </c>
      <c r="AP119" s="189">
        <f>N119/'Building &amp; Material inputs'!$C$18/'Building &amp; Material inputs'!$C$19</f>
        <v>0</v>
      </c>
      <c r="AQ119" s="141">
        <f>O119/'Building &amp; Material inputs'!$C$18/'Building &amp; Material inputs'!$C$19</f>
        <v>0</v>
      </c>
      <c r="AR119" s="141">
        <f>P119/'Building &amp; Material inputs'!$C$18/'Building &amp; Material inputs'!$C$19</f>
        <v>0</v>
      </c>
      <c r="AS119" s="188">
        <f>Q119/'Building &amp; Material inputs'!$C$18/'Building &amp; Material inputs'!$C$19</f>
        <v>0</v>
      </c>
      <c r="AT119" s="188">
        <f>R119/'Building &amp; Material inputs'!$C$18/'Building &amp; Material inputs'!$C$19</f>
        <v>0</v>
      </c>
      <c r="AU119" s="189">
        <f>S119/'Building &amp; Material inputs'!$C$18/'Building &amp; Material inputs'!$C$19</f>
        <v>0</v>
      </c>
      <c r="AV119" s="189">
        <f>T119/'Building &amp; Material inputs'!$C$18/'Building &amp; Material inputs'!$C$19</f>
        <v>0</v>
      </c>
      <c r="AW119" s="189">
        <f>U119/'Building &amp; Material inputs'!$C$18/'Building &amp; Material inputs'!$C$19</f>
        <v>0</v>
      </c>
      <c r="AX119" s="189">
        <f>V119/'Building &amp; Material inputs'!$C$18/'Building &amp; Material inputs'!$C$19</f>
        <v>0</v>
      </c>
      <c r="AY119" s="189">
        <f>W119/'Building &amp; Material inputs'!$C$18/'Building &amp; Material inputs'!$C$19</f>
        <v>0</v>
      </c>
      <c r="AZ119" s="189">
        <f>X119/'Building &amp; Material inputs'!$C$18/'Building &amp; Material inputs'!$C$19</f>
        <v>0</v>
      </c>
      <c r="BA119" s="189">
        <f>Y119/'Building &amp; Material inputs'!$C$18/'Building &amp; Material inputs'!$C$19</f>
        <v>0</v>
      </c>
      <c r="BB119" s="141">
        <f>Z119/'Building &amp; Material inputs'!$C$18/'Building &amp; Material inputs'!$C$19</f>
        <v>0</v>
      </c>
      <c r="BC119" s="141">
        <f>AA119/'Building &amp; Material inputs'!$C$18/'Building &amp; Material inputs'!$C$19</f>
        <v>0</v>
      </c>
      <c r="BD119" s="141">
        <f>AB119/'Building &amp; Material inputs'!$C$18/'Building &amp; Material inputs'!$C$19</f>
        <v>0</v>
      </c>
      <c r="BE119" s="141">
        <f>AC119/'Building &amp; Material inputs'!$C$18/'Building &amp; Material inputs'!$C$19</f>
        <v>0</v>
      </c>
      <c r="BF119" s="141">
        <f>AD119/'Building &amp; Material inputs'!$C$18/'Building &amp; Material inputs'!$C$19</f>
        <v>0</v>
      </c>
      <c r="BG119" s="141">
        <f>AE119/'Building &amp; Material inputs'!$C$18/'Building &amp; Material inputs'!$C$19</f>
        <v>0</v>
      </c>
      <c r="BH119" s="141">
        <f>AF119/'Building &amp; Material inputs'!$C$18/'Building &amp; Material inputs'!$C$19</f>
        <v>0</v>
      </c>
      <c r="BI119" s="188">
        <f>AG119/'Building &amp; Material inputs'!$C$18/'Building &amp; Material inputs'!$C$19</f>
        <v>0</v>
      </c>
      <c r="BJ119" s="188">
        <f>AH119/'Building &amp; Material inputs'!$C$18/'Building &amp; Material inputs'!$C$19</f>
        <v>0</v>
      </c>
      <c r="BK119" s="188">
        <f>AI119/'Building &amp; Material inputs'!$C$18/'Building &amp; Material inputs'!$C$19</f>
        <v>0</v>
      </c>
      <c r="BL119" s="188">
        <f>AJ119/'Building &amp; Material inputs'!$C$18/'Building &amp; Material inputs'!$C$19</f>
        <v>0</v>
      </c>
      <c r="BM119" s="188">
        <f>AK119/'Building &amp; Material inputs'!$C$18/'Building &amp; Material inputs'!$C$19</f>
        <v>0</v>
      </c>
      <c r="BN119" s="188">
        <f>AL119/'Building &amp; Material inputs'!$C$18/'Building &amp; Material inputs'!$C$19</f>
        <v>0</v>
      </c>
      <c r="BO119" s="188">
        <f>AM119/'Building &amp; Material inputs'!$C$18/'Building &amp; Material inputs'!$C$19</f>
        <v>0</v>
      </c>
      <c r="BR119" s="207">
        <f>SUM(BR114:BR118)</f>
        <v>212503.7262338718</v>
      </c>
      <c r="BS119">
        <f>SUM(BS114:BS118)</f>
        <v>323998.76</v>
      </c>
      <c r="BT119">
        <f>SUM(BT114:BT118)</f>
        <v>334920.98</v>
      </c>
      <c r="BW119" s="101"/>
    </row>
    <row r="120" spans="2:82" ht="15.75" thickBot="1" x14ac:dyDescent="0.3">
      <c r="B120" s="334"/>
      <c r="C120" s="305"/>
      <c r="D120" s="302"/>
      <c r="E120" s="317"/>
      <c r="F120" s="83" t="s">
        <v>209</v>
      </c>
      <c r="G120" s="84" t="s">
        <v>98</v>
      </c>
      <c r="H120" s="60" t="str">
        <f>'Material quantities'!G120</f>
        <v>CERB</v>
      </c>
      <c r="I120" s="38">
        <f>'Material quantities'!O120</f>
        <v>0</v>
      </c>
      <c r="J120" s="86" t="s">
        <v>15</v>
      </c>
      <c r="K120" s="129"/>
      <c r="L120" s="148">
        <f>VLOOKUP($H120,'Material impact data'!$E$19:$AM$61,6,0)/VLOOKUP($H120,'Material impact data'!$E$19:$AM$61,4,0)*$I120</f>
        <v>0</v>
      </c>
      <c r="M120" s="138">
        <f>VLOOKUP($H120,'Material impact data'!$E$19:$AM$61,'Material impact data'!M$15,0)/VLOOKUP($H120,'Material impact data'!$E$19:$AM$61,4,0)*$I120</f>
        <v>0</v>
      </c>
      <c r="N120" s="138">
        <f>VLOOKUP($H120,'Material impact data'!$E$19:$AM$61,'Material impact data'!N$15,0)/VLOOKUP($H120,'Material impact data'!$E$19:$AM$61,4,0)*$I120</f>
        <v>0</v>
      </c>
      <c r="O120" s="180">
        <f>VLOOKUP($H120,'Material impact data'!$E$19:$AM$61,'Material impact data'!O$15,0)/VLOOKUP($H120,'Material impact data'!$E$19:$AM$61,4,0)*$I120</f>
        <v>0</v>
      </c>
      <c r="P120" s="180">
        <f>VLOOKUP($H120,'Material impact data'!$E$19:$AM$61,'Material impact data'!P$15,0)/VLOOKUP($H120,'Material impact data'!$E$19:$AM$61,4,0)*$I120</f>
        <v>0</v>
      </c>
      <c r="Q120" s="179">
        <f>VLOOKUP($H120,'Material impact data'!$E$19:$AM$61,'Material impact data'!Q$15,0)/VLOOKUP($H120,'Material impact data'!$E$19:$AM$61,4,0)*$I120</f>
        <v>0</v>
      </c>
      <c r="R120" s="179">
        <f>VLOOKUP($H120,'Material impact data'!$E$19:$AM$61,'Material impact data'!R$15,0)/VLOOKUP($H120,'Material impact data'!$E$19:$AM$61,4,0)*$I120</f>
        <v>0</v>
      </c>
      <c r="S120" s="138">
        <f>VLOOKUP($H120,'Material impact data'!$E$19:$AM$61,'Material impact data'!S$15,0)/VLOOKUP($H120,'Material impact data'!$E$19:$AM$61,4,0)*$I120</f>
        <v>0</v>
      </c>
      <c r="T120" s="138">
        <f>VLOOKUP($H120,'Material impact data'!$E$19:$AM$61,'Material impact data'!T$15,0)/VLOOKUP($H120,'Material impact data'!$E$19:$AM$61,4,0)*$I120</f>
        <v>0</v>
      </c>
      <c r="U120" s="138">
        <f>VLOOKUP($H120,'Material impact data'!$E$19:$AM$61,'Material impact data'!U$15,0)/VLOOKUP($H120,'Material impact data'!$E$19:$AM$61,4,0)*$I120</f>
        <v>0</v>
      </c>
      <c r="V120" s="138">
        <f>VLOOKUP($H120,'Material impact data'!$E$19:$AM$61,'Material impact data'!V$15,0)/VLOOKUP($H120,'Material impact data'!$E$19:$AM$61,4,0)*$I120</f>
        <v>0</v>
      </c>
      <c r="W120" s="138">
        <f>VLOOKUP($H120,'Material impact data'!$E$19:$AM$61,'Material impact data'!W$15,0)/VLOOKUP($H120,'Material impact data'!$E$19:$AM$61,4,0)*$I120</f>
        <v>0</v>
      </c>
      <c r="X120" s="138">
        <f>VLOOKUP($H120,'Material impact data'!$E$19:$AM$61,'Material impact data'!X$15,0)/VLOOKUP($H120,'Material impact data'!$E$19:$AM$61,4,0)*$I120</f>
        <v>0</v>
      </c>
      <c r="Y120" s="138">
        <f>VLOOKUP($H120,'Material impact data'!$E$19:$AM$61,'Material impact data'!Y$15,0)/VLOOKUP($H120,'Material impact data'!$E$19:$AM$61,4,0)*$I120</f>
        <v>0</v>
      </c>
      <c r="Z120" s="180">
        <f>VLOOKUP($H120,'Material impact data'!$E$19:$AM$61,'Material impact data'!Z$15,0)/VLOOKUP($H120,'Material impact data'!$E$19:$AM$61,4,0)*$I120</f>
        <v>0</v>
      </c>
      <c r="AA120" s="180">
        <f>VLOOKUP($H120,'Material impact data'!$E$19:$AM$61,'Material impact data'!AA$15,0)/VLOOKUP($H120,'Material impact data'!$E$19:$AM$61,4,0)*$I120</f>
        <v>0</v>
      </c>
      <c r="AB120" s="180">
        <f>VLOOKUP($H120,'Material impact data'!$E$19:$AM$61,'Material impact data'!AB$15,0)/VLOOKUP($H120,'Material impact data'!$E$19:$AM$61,4,0)*$I120</f>
        <v>0</v>
      </c>
      <c r="AC120" s="180">
        <f>VLOOKUP($H120,'Material impact data'!$E$19:$AM$61,'Material impact data'!AC$15,0)/VLOOKUP($H120,'Material impact data'!$E$19:$AM$61,4,0)*$I120</f>
        <v>0</v>
      </c>
      <c r="AD120" s="180">
        <f>VLOOKUP($H120,'Material impact data'!$E$19:$AM$61,'Material impact data'!AD$15,0)/VLOOKUP($H120,'Material impact data'!$E$19:$AM$61,4,0)*$I120</f>
        <v>0</v>
      </c>
      <c r="AE120" s="180">
        <f>VLOOKUP($H120,'Material impact data'!$E$19:$AM$61,'Material impact data'!AE$15,0)/VLOOKUP($H120,'Material impact data'!$E$19:$AM$61,4,0)*$I120</f>
        <v>0</v>
      </c>
      <c r="AF120" s="180">
        <f>VLOOKUP($H120,'Material impact data'!$E$19:$AM$61,'Material impact data'!AF$15,0)/VLOOKUP($H120,'Material impact data'!$E$19:$AM$61,4,0)*$I120</f>
        <v>0</v>
      </c>
      <c r="AG120" s="179">
        <f>VLOOKUP($H120,'Material impact data'!$E$19:$AM$61,'Material impact data'!AG$15,0)/VLOOKUP($H120,'Material impact data'!$E$19:$AM$61,4,0)*$I120</f>
        <v>0</v>
      </c>
      <c r="AH120" s="179">
        <f>VLOOKUP($H120,'Material impact data'!$E$19:$AM$61,'Material impact data'!AH$15,0)/VLOOKUP($H120,'Material impact data'!$E$19:$AM$61,4,0)*$I120</f>
        <v>0</v>
      </c>
      <c r="AI120" s="179">
        <f>VLOOKUP($H120,'Material impact data'!$E$19:$AM$61,'Material impact data'!AI$15,0)/VLOOKUP($H120,'Material impact data'!$E$19:$AM$61,4,0)*$I120</f>
        <v>0</v>
      </c>
      <c r="AJ120" s="179">
        <f>VLOOKUP($H120,'Material impact data'!$E$19:$AM$61,'Material impact data'!AJ$15,0)/VLOOKUP($H120,'Material impact data'!$E$19:$AM$61,4,0)*$I120</f>
        <v>0</v>
      </c>
      <c r="AK120" s="179">
        <f>VLOOKUP($H120,'Material impact data'!$E$19:$AM$61,'Material impact data'!AK$15,0)/VLOOKUP($H120,'Material impact data'!$E$19:$AM$61,4,0)*$I120</f>
        <v>0</v>
      </c>
      <c r="AL120" s="179">
        <f>VLOOKUP($H120,'Material impact data'!$E$19:$AM$61,'Material impact data'!AL$15,0)/VLOOKUP($H120,'Material impact data'!$E$19:$AM$61,4,0)*$I120</f>
        <v>0</v>
      </c>
      <c r="AM120" s="179">
        <f>VLOOKUP($H120,'Material impact data'!$E$19:$AM$61,'Material impact data'!AM$15,0)/VLOOKUP($H120,'Material impact data'!$E$19:$AM$61,4,0)*$I120</f>
        <v>0</v>
      </c>
      <c r="AO120" s="189">
        <f>M120/'Building &amp; Material inputs'!$C$18/'Building &amp; Material inputs'!$C$19</f>
        <v>0</v>
      </c>
      <c r="AP120" s="189">
        <f>N120/'Building &amp; Material inputs'!$C$18/'Building &amp; Material inputs'!$C$19</f>
        <v>0</v>
      </c>
      <c r="AQ120" s="141">
        <f>O120/'Building &amp; Material inputs'!$C$18/'Building &amp; Material inputs'!$C$19</f>
        <v>0</v>
      </c>
      <c r="AR120" s="141">
        <f>P120/'Building &amp; Material inputs'!$C$18/'Building &amp; Material inputs'!$C$19</f>
        <v>0</v>
      </c>
      <c r="AS120" s="188">
        <f>Q120/'Building &amp; Material inputs'!$C$18/'Building &amp; Material inputs'!$C$19</f>
        <v>0</v>
      </c>
      <c r="AT120" s="188">
        <f>R120/'Building &amp; Material inputs'!$C$18/'Building &amp; Material inputs'!$C$19</f>
        <v>0</v>
      </c>
      <c r="AU120" s="189">
        <f>S120/'Building &amp; Material inputs'!$C$18/'Building &amp; Material inputs'!$C$19</f>
        <v>0</v>
      </c>
      <c r="AV120" s="189">
        <f>T120/'Building &amp; Material inputs'!$C$18/'Building &amp; Material inputs'!$C$19</f>
        <v>0</v>
      </c>
      <c r="AW120" s="189">
        <f>U120/'Building &amp; Material inputs'!$C$18/'Building &amp; Material inputs'!$C$19</f>
        <v>0</v>
      </c>
      <c r="AX120" s="189">
        <f>V120/'Building &amp; Material inputs'!$C$18/'Building &amp; Material inputs'!$C$19</f>
        <v>0</v>
      </c>
      <c r="AY120" s="189">
        <f>W120/'Building &amp; Material inputs'!$C$18/'Building &amp; Material inputs'!$C$19</f>
        <v>0</v>
      </c>
      <c r="AZ120" s="189">
        <f>X120/'Building &amp; Material inputs'!$C$18/'Building &amp; Material inputs'!$C$19</f>
        <v>0</v>
      </c>
      <c r="BA120" s="189">
        <f>Y120/'Building &amp; Material inputs'!$C$18/'Building &amp; Material inputs'!$C$19</f>
        <v>0</v>
      </c>
      <c r="BB120" s="141">
        <f>Z120/'Building &amp; Material inputs'!$C$18/'Building &amp; Material inputs'!$C$19</f>
        <v>0</v>
      </c>
      <c r="BC120" s="141">
        <f>AA120/'Building &amp; Material inputs'!$C$18/'Building &amp; Material inputs'!$C$19</f>
        <v>0</v>
      </c>
      <c r="BD120" s="141">
        <f>AB120/'Building &amp; Material inputs'!$C$18/'Building &amp; Material inputs'!$C$19</f>
        <v>0</v>
      </c>
      <c r="BE120" s="141">
        <f>AC120/'Building &amp; Material inputs'!$C$18/'Building &amp; Material inputs'!$C$19</f>
        <v>0</v>
      </c>
      <c r="BF120" s="141">
        <f>AD120/'Building &amp; Material inputs'!$C$18/'Building &amp; Material inputs'!$C$19</f>
        <v>0</v>
      </c>
      <c r="BG120" s="141">
        <f>AE120/'Building &amp; Material inputs'!$C$18/'Building &amp; Material inputs'!$C$19</f>
        <v>0</v>
      </c>
      <c r="BH120" s="141">
        <f>AF120/'Building &amp; Material inputs'!$C$18/'Building &amp; Material inputs'!$C$19</f>
        <v>0</v>
      </c>
      <c r="BI120" s="188">
        <f>AG120/'Building &amp; Material inputs'!$C$18/'Building &amp; Material inputs'!$C$19</f>
        <v>0</v>
      </c>
      <c r="BJ120" s="188">
        <f>AH120/'Building &amp; Material inputs'!$C$18/'Building &amp; Material inputs'!$C$19</f>
        <v>0</v>
      </c>
      <c r="BK120" s="188">
        <f>AI120/'Building &amp; Material inputs'!$C$18/'Building &amp; Material inputs'!$C$19</f>
        <v>0</v>
      </c>
      <c r="BL120" s="188">
        <f>AJ120/'Building &amp; Material inputs'!$C$18/'Building &amp; Material inputs'!$C$19</f>
        <v>0</v>
      </c>
      <c r="BM120" s="188">
        <f>AK120/'Building &amp; Material inputs'!$C$18/'Building &amp; Material inputs'!$C$19</f>
        <v>0</v>
      </c>
      <c r="BN120" s="188">
        <f>AL120/'Building &amp; Material inputs'!$C$18/'Building &amp; Material inputs'!$C$19</f>
        <v>0</v>
      </c>
      <c r="BO120" s="188">
        <f>AM120/'Building &amp; Material inputs'!$C$18/'Building &amp; Material inputs'!$C$19</f>
        <v>0</v>
      </c>
      <c r="BV120" s="354" t="s">
        <v>587</v>
      </c>
      <c r="BW120" s="300" t="s">
        <v>659</v>
      </c>
      <c r="BX120" s="335"/>
      <c r="BY120" s="301"/>
      <c r="CA120" s="354" t="s">
        <v>676</v>
      </c>
      <c r="CB120" s="300" t="s">
        <v>659</v>
      </c>
      <c r="CC120" s="335"/>
      <c r="CD120" s="301"/>
    </row>
    <row r="121" spans="2:82" ht="15.75" thickBot="1" x14ac:dyDescent="0.3">
      <c r="B121" s="334"/>
      <c r="C121" s="305"/>
      <c r="D121" s="302"/>
      <c r="E121" s="317"/>
      <c r="F121" s="83" t="s">
        <v>210</v>
      </c>
      <c r="G121" s="98" t="s">
        <v>57</v>
      </c>
      <c r="H121" s="60" t="str">
        <f>'Material quantities'!G121</f>
        <v>MWOOL</v>
      </c>
      <c r="I121" s="38">
        <f>'Material quantities'!O121</f>
        <v>0</v>
      </c>
      <c r="J121" s="62" t="s">
        <v>14</v>
      </c>
      <c r="K121" s="2"/>
      <c r="L121" s="148">
        <f>VLOOKUP($H121,'Material impact data'!$E$19:$AM$61,6,0)/VLOOKUP($H121,'Material impact data'!$E$19:$AM$61,4,0)*$I121</f>
        <v>0</v>
      </c>
      <c r="M121" s="138">
        <f>VLOOKUP($H121,'Material impact data'!$E$19:$AM$61,'Material impact data'!M$15,0)/VLOOKUP($H121,'Material impact data'!$E$19:$AM$61,4,0)*$I121</f>
        <v>0</v>
      </c>
      <c r="N121" s="138">
        <f>VLOOKUP($H121,'Material impact data'!$E$19:$AM$61,'Material impact data'!N$15,0)/VLOOKUP($H121,'Material impact data'!$E$19:$AM$61,4,0)*$I121</f>
        <v>0</v>
      </c>
      <c r="O121" s="180">
        <f>VLOOKUP($H121,'Material impact data'!$E$19:$AM$61,'Material impact data'!O$15,0)/VLOOKUP($H121,'Material impact data'!$E$19:$AM$61,4,0)*$I121</f>
        <v>0</v>
      </c>
      <c r="P121" s="180">
        <f>VLOOKUP($H121,'Material impact data'!$E$19:$AM$61,'Material impact data'!P$15,0)/VLOOKUP($H121,'Material impact data'!$E$19:$AM$61,4,0)*$I121</f>
        <v>0</v>
      </c>
      <c r="Q121" s="179">
        <f>VLOOKUP($H121,'Material impact data'!$E$19:$AM$61,'Material impact data'!Q$15,0)/VLOOKUP($H121,'Material impact data'!$E$19:$AM$61,4,0)*$I121</f>
        <v>0</v>
      </c>
      <c r="R121" s="179">
        <f>VLOOKUP($H121,'Material impact data'!$E$19:$AM$61,'Material impact data'!R$15,0)/VLOOKUP($H121,'Material impact data'!$E$19:$AM$61,4,0)*$I121</f>
        <v>0</v>
      </c>
      <c r="S121" s="138">
        <f>VLOOKUP($H121,'Material impact data'!$E$19:$AM$61,'Material impact data'!S$15,0)/VLOOKUP($H121,'Material impact data'!$E$19:$AM$61,4,0)*$I121</f>
        <v>0</v>
      </c>
      <c r="T121" s="138">
        <f>VLOOKUP($H121,'Material impact data'!$E$19:$AM$61,'Material impact data'!T$15,0)/VLOOKUP($H121,'Material impact data'!$E$19:$AM$61,4,0)*$I121</f>
        <v>0</v>
      </c>
      <c r="U121" s="138">
        <f>VLOOKUP($H121,'Material impact data'!$E$19:$AM$61,'Material impact data'!U$15,0)/VLOOKUP($H121,'Material impact data'!$E$19:$AM$61,4,0)*$I121</f>
        <v>0</v>
      </c>
      <c r="V121" s="138">
        <f>VLOOKUP($H121,'Material impact data'!$E$19:$AM$61,'Material impact data'!V$15,0)/VLOOKUP($H121,'Material impact data'!$E$19:$AM$61,4,0)*$I121</f>
        <v>0</v>
      </c>
      <c r="W121" s="138">
        <f>VLOOKUP($H121,'Material impact data'!$E$19:$AM$61,'Material impact data'!W$15,0)/VLOOKUP($H121,'Material impact data'!$E$19:$AM$61,4,0)*$I121</f>
        <v>0</v>
      </c>
      <c r="X121" s="138">
        <f>VLOOKUP($H121,'Material impact data'!$E$19:$AM$61,'Material impact data'!X$15,0)/VLOOKUP($H121,'Material impact data'!$E$19:$AM$61,4,0)*$I121</f>
        <v>0</v>
      </c>
      <c r="Y121" s="138">
        <f>VLOOKUP($H121,'Material impact data'!$E$19:$AM$61,'Material impact data'!Y$15,0)/VLOOKUP($H121,'Material impact data'!$E$19:$AM$61,4,0)*$I121</f>
        <v>0</v>
      </c>
      <c r="Z121" s="180">
        <f>VLOOKUP($H121,'Material impact data'!$E$19:$AM$61,'Material impact data'!Z$15,0)/VLOOKUP($H121,'Material impact data'!$E$19:$AM$61,4,0)*$I121</f>
        <v>0</v>
      </c>
      <c r="AA121" s="180">
        <f>VLOOKUP($H121,'Material impact data'!$E$19:$AM$61,'Material impact data'!AA$15,0)/VLOOKUP($H121,'Material impact data'!$E$19:$AM$61,4,0)*$I121</f>
        <v>0</v>
      </c>
      <c r="AB121" s="180">
        <f>VLOOKUP($H121,'Material impact data'!$E$19:$AM$61,'Material impact data'!AB$15,0)/VLOOKUP($H121,'Material impact data'!$E$19:$AM$61,4,0)*$I121</f>
        <v>0</v>
      </c>
      <c r="AC121" s="180">
        <f>VLOOKUP($H121,'Material impact data'!$E$19:$AM$61,'Material impact data'!AC$15,0)/VLOOKUP($H121,'Material impact data'!$E$19:$AM$61,4,0)*$I121</f>
        <v>0</v>
      </c>
      <c r="AD121" s="180">
        <f>VLOOKUP($H121,'Material impact data'!$E$19:$AM$61,'Material impact data'!AD$15,0)/VLOOKUP($H121,'Material impact data'!$E$19:$AM$61,4,0)*$I121</f>
        <v>0</v>
      </c>
      <c r="AE121" s="180">
        <f>VLOOKUP($H121,'Material impact data'!$E$19:$AM$61,'Material impact data'!AE$15,0)/VLOOKUP($H121,'Material impact data'!$E$19:$AM$61,4,0)*$I121</f>
        <v>0</v>
      </c>
      <c r="AF121" s="180">
        <f>VLOOKUP($H121,'Material impact data'!$E$19:$AM$61,'Material impact data'!AF$15,0)/VLOOKUP($H121,'Material impact data'!$E$19:$AM$61,4,0)*$I121</f>
        <v>0</v>
      </c>
      <c r="AG121" s="179">
        <f>VLOOKUP($H121,'Material impact data'!$E$19:$AM$61,'Material impact data'!AG$15,0)/VLOOKUP($H121,'Material impact data'!$E$19:$AM$61,4,0)*$I121</f>
        <v>0</v>
      </c>
      <c r="AH121" s="179">
        <f>VLOOKUP($H121,'Material impact data'!$E$19:$AM$61,'Material impact data'!AH$15,0)/VLOOKUP($H121,'Material impact data'!$E$19:$AM$61,4,0)*$I121</f>
        <v>0</v>
      </c>
      <c r="AI121" s="179">
        <f>VLOOKUP($H121,'Material impact data'!$E$19:$AM$61,'Material impact data'!AI$15,0)/VLOOKUP($H121,'Material impact data'!$E$19:$AM$61,4,0)*$I121</f>
        <v>0</v>
      </c>
      <c r="AJ121" s="179">
        <f>VLOOKUP($H121,'Material impact data'!$E$19:$AM$61,'Material impact data'!AJ$15,0)/VLOOKUP($H121,'Material impact data'!$E$19:$AM$61,4,0)*$I121</f>
        <v>0</v>
      </c>
      <c r="AK121" s="179">
        <f>VLOOKUP($H121,'Material impact data'!$E$19:$AM$61,'Material impact data'!AK$15,0)/VLOOKUP($H121,'Material impact data'!$E$19:$AM$61,4,0)*$I121</f>
        <v>0</v>
      </c>
      <c r="AL121" s="179">
        <f>VLOOKUP($H121,'Material impact data'!$E$19:$AM$61,'Material impact data'!AL$15,0)/VLOOKUP($H121,'Material impact data'!$E$19:$AM$61,4,0)*$I121</f>
        <v>0</v>
      </c>
      <c r="AM121" s="179">
        <f>VLOOKUP($H121,'Material impact data'!$E$19:$AM$61,'Material impact data'!AM$15,0)/VLOOKUP($H121,'Material impact data'!$E$19:$AM$61,4,0)*$I121</f>
        <v>0</v>
      </c>
      <c r="AO121" s="189">
        <f>M121/'Building &amp; Material inputs'!$C$18/'Building &amp; Material inputs'!$C$19</f>
        <v>0</v>
      </c>
      <c r="AP121" s="189">
        <f>N121/'Building &amp; Material inputs'!$C$18/'Building &amp; Material inputs'!$C$19</f>
        <v>0</v>
      </c>
      <c r="AQ121" s="141">
        <f>O121/'Building &amp; Material inputs'!$C$18/'Building &amp; Material inputs'!$C$19</f>
        <v>0</v>
      </c>
      <c r="AR121" s="141">
        <f>P121/'Building &amp; Material inputs'!$C$18/'Building &amp; Material inputs'!$C$19</f>
        <v>0</v>
      </c>
      <c r="AS121" s="188">
        <f>Q121/'Building &amp; Material inputs'!$C$18/'Building &amp; Material inputs'!$C$19</f>
        <v>0</v>
      </c>
      <c r="AT121" s="188">
        <f>R121/'Building &amp; Material inputs'!$C$18/'Building &amp; Material inputs'!$C$19</f>
        <v>0</v>
      </c>
      <c r="AU121" s="189">
        <f>S121/'Building &amp; Material inputs'!$C$18/'Building &amp; Material inputs'!$C$19</f>
        <v>0</v>
      </c>
      <c r="AV121" s="189">
        <f>T121/'Building &amp; Material inputs'!$C$18/'Building &amp; Material inputs'!$C$19</f>
        <v>0</v>
      </c>
      <c r="AW121" s="189">
        <f>U121/'Building &amp; Material inputs'!$C$18/'Building &amp; Material inputs'!$C$19</f>
        <v>0</v>
      </c>
      <c r="AX121" s="189">
        <f>V121/'Building &amp; Material inputs'!$C$18/'Building &amp; Material inputs'!$C$19</f>
        <v>0</v>
      </c>
      <c r="AY121" s="189">
        <f>W121/'Building &amp; Material inputs'!$C$18/'Building &amp; Material inputs'!$C$19</f>
        <v>0</v>
      </c>
      <c r="AZ121" s="189">
        <f>X121/'Building &amp; Material inputs'!$C$18/'Building &amp; Material inputs'!$C$19</f>
        <v>0</v>
      </c>
      <c r="BA121" s="189">
        <f>Y121/'Building &amp; Material inputs'!$C$18/'Building &amp; Material inputs'!$C$19</f>
        <v>0</v>
      </c>
      <c r="BB121" s="141">
        <f>Z121/'Building &amp; Material inputs'!$C$18/'Building &amp; Material inputs'!$C$19</f>
        <v>0</v>
      </c>
      <c r="BC121" s="141">
        <f>AA121/'Building &amp; Material inputs'!$C$18/'Building &amp; Material inputs'!$C$19</f>
        <v>0</v>
      </c>
      <c r="BD121" s="141">
        <f>AB121/'Building &amp; Material inputs'!$C$18/'Building &amp; Material inputs'!$C$19</f>
        <v>0</v>
      </c>
      <c r="BE121" s="141">
        <f>AC121/'Building &amp; Material inputs'!$C$18/'Building &amp; Material inputs'!$C$19</f>
        <v>0</v>
      </c>
      <c r="BF121" s="141">
        <f>AD121/'Building &amp; Material inputs'!$C$18/'Building &amp; Material inputs'!$C$19</f>
        <v>0</v>
      </c>
      <c r="BG121" s="141">
        <f>AE121/'Building &amp; Material inputs'!$C$18/'Building &amp; Material inputs'!$C$19</f>
        <v>0</v>
      </c>
      <c r="BH121" s="141">
        <f>AF121/'Building &amp; Material inputs'!$C$18/'Building &amp; Material inputs'!$C$19</f>
        <v>0</v>
      </c>
      <c r="BI121" s="188">
        <f>AG121/'Building &amp; Material inputs'!$C$18/'Building &amp; Material inputs'!$C$19</f>
        <v>0</v>
      </c>
      <c r="BJ121" s="188">
        <f>AH121/'Building &amp; Material inputs'!$C$18/'Building &amp; Material inputs'!$C$19</f>
        <v>0</v>
      </c>
      <c r="BK121" s="188">
        <f>AI121/'Building &amp; Material inputs'!$C$18/'Building &amp; Material inputs'!$C$19</f>
        <v>0</v>
      </c>
      <c r="BL121" s="188">
        <f>AJ121/'Building &amp; Material inputs'!$C$18/'Building &amp; Material inputs'!$C$19</f>
        <v>0</v>
      </c>
      <c r="BM121" s="188">
        <f>AK121/'Building &amp; Material inputs'!$C$18/'Building &amp; Material inputs'!$C$19</f>
        <v>0</v>
      </c>
      <c r="BN121" s="188">
        <f>AL121/'Building &amp; Material inputs'!$C$18/'Building &amp; Material inputs'!$C$19</f>
        <v>0</v>
      </c>
      <c r="BO121" s="188">
        <f>AM121/'Building &amp; Material inputs'!$C$18/'Building &amp; Material inputs'!$C$19</f>
        <v>0</v>
      </c>
      <c r="BV121" s="355"/>
      <c r="BW121" s="213" t="s">
        <v>39</v>
      </c>
      <c r="BX121" s="218" t="s">
        <v>660</v>
      </c>
      <c r="BY121" s="223" t="s">
        <v>661</v>
      </c>
      <c r="CA121" s="355"/>
      <c r="CB121" s="213" t="s">
        <v>39</v>
      </c>
      <c r="CC121" s="218" t="s">
        <v>660</v>
      </c>
      <c r="CD121" s="223" t="s">
        <v>661</v>
      </c>
    </row>
    <row r="122" spans="2:82" ht="15.75" thickBot="1" x14ac:dyDescent="0.3">
      <c r="B122" s="334"/>
      <c r="C122" s="305"/>
      <c r="D122" s="302"/>
      <c r="E122" s="317"/>
      <c r="F122" s="83" t="s">
        <v>211</v>
      </c>
      <c r="G122" s="98" t="s">
        <v>106</v>
      </c>
      <c r="H122" s="60" t="str">
        <f>'Material quantities'!G122</f>
        <v>N-STON</v>
      </c>
      <c r="I122" s="38">
        <f>'Material quantities'!O122</f>
        <v>0</v>
      </c>
      <c r="J122" s="62" t="s">
        <v>15</v>
      </c>
      <c r="K122" s="2"/>
      <c r="L122" s="148">
        <f>VLOOKUP($H122,'Material impact data'!$E$19:$AM$61,6,0)/VLOOKUP($H122,'Material impact data'!$E$19:$AM$61,4,0)*$I122</f>
        <v>0</v>
      </c>
      <c r="M122" s="138">
        <f>VLOOKUP($H122,'Material impact data'!$E$19:$AM$61,'Material impact data'!M$15,0)/VLOOKUP($H122,'Material impact data'!$E$19:$AM$61,4,0)*$I122</f>
        <v>0</v>
      </c>
      <c r="N122" s="138">
        <f>VLOOKUP($H122,'Material impact data'!$E$19:$AM$61,'Material impact data'!N$15,0)/VLOOKUP($H122,'Material impact data'!$E$19:$AM$61,4,0)*$I122</f>
        <v>0</v>
      </c>
      <c r="O122" s="180">
        <f>VLOOKUP($H122,'Material impact data'!$E$19:$AM$61,'Material impact data'!O$15,0)/VLOOKUP($H122,'Material impact data'!$E$19:$AM$61,4,0)*$I122</f>
        <v>0</v>
      </c>
      <c r="P122" s="180">
        <f>VLOOKUP($H122,'Material impact data'!$E$19:$AM$61,'Material impact data'!P$15,0)/VLOOKUP($H122,'Material impact data'!$E$19:$AM$61,4,0)*$I122</f>
        <v>0</v>
      </c>
      <c r="Q122" s="179">
        <f>VLOOKUP($H122,'Material impact data'!$E$19:$AM$61,'Material impact data'!Q$15,0)/VLOOKUP($H122,'Material impact data'!$E$19:$AM$61,4,0)*$I122</f>
        <v>0</v>
      </c>
      <c r="R122" s="179">
        <f>VLOOKUP($H122,'Material impact data'!$E$19:$AM$61,'Material impact data'!R$15,0)/VLOOKUP($H122,'Material impact data'!$E$19:$AM$61,4,0)*$I122</f>
        <v>0</v>
      </c>
      <c r="S122" s="138">
        <f>VLOOKUP($H122,'Material impact data'!$E$19:$AM$61,'Material impact data'!S$15,0)/VLOOKUP($H122,'Material impact data'!$E$19:$AM$61,4,0)*$I122</f>
        <v>0</v>
      </c>
      <c r="T122" s="138">
        <f>VLOOKUP($H122,'Material impact data'!$E$19:$AM$61,'Material impact data'!T$15,0)/VLOOKUP($H122,'Material impact data'!$E$19:$AM$61,4,0)*$I122</f>
        <v>0</v>
      </c>
      <c r="U122" s="138">
        <f>VLOOKUP($H122,'Material impact data'!$E$19:$AM$61,'Material impact data'!U$15,0)/VLOOKUP($H122,'Material impact data'!$E$19:$AM$61,4,0)*$I122</f>
        <v>0</v>
      </c>
      <c r="V122" s="138">
        <f>VLOOKUP($H122,'Material impact data'!$E$19:$AM$61,'Material impact data'!V$15,0)/VLOOKUP($H122,'Material impact data'!$E$19:$AM$61,4,0)*$I122</f>
        <v>0</v>
      </c>
      <c r="W122" s="138">
        <f>VLOOKUP($H122,'Material impact data'!$E$19:$AM$61,'Material impact data'!W$15,0)/VLOOKUP($H122,'Material impact data'!$E$19:$AM$61,4,0)*$I122</f>
        <v>0</v>
      </c>
      <c r="X122" s="138">
        <f>VLOOKUP($H122,'Material impact data'!$E$19:$AM$61,'Material impact data'!X$15,0)/VLOOKUP($H122,'Material impact data'!$E$19:$AM$61,4,0)*$I122</f>
        <v>0</v>
      </c>
      <c r="Y122" s="138">
        <f>VLOOKUP($H122,'Material impact data'!$E$19:$AM$61,'Material impact data'!Y$15,0)/VLOOKUP($H122,'Material impact data'!$E$19:$AM$61,4,0)*$I122</f>
        <v>0</v>
      </c>
      <c r="Z122" s="180">
        <f>VLOOKUP($H122,'Material impact data'!$E$19:$AM$61,'Material impact data'!Z$15,0)/VLOOKUP($H122,'Material impact data'!$E$19:$AM$61,4,0)*$I122</f>
        <v>0</v>
      </c>
      <c r="AA122" s="180">
        <f>VLOOKUP($H122,'Material impact data'!$E$19:$AM$61,'Material impact data'!AA$15,0)/VLOOKUP($H122,'Material impact data'!$E$19:$AM$61,4,0)*$I122</f>
        <v>0</v>
      </c>
      <c r="AB122" s="180">
        <f>VLOOKUP($H122,'Material impact data'!$E$19:$AM$61,'Material impact data'!AB$15,0)/VLOOKUP($H122,'Material impact data'!$E$19:$AM$61,4,0)*$I122</f>
        <v>0</v>
      </c>
      <c r="AC122" s="180">
        <f>VLOOKUP($H122,'Material impact data'!$E$19:$AM$61,'Material impact data'!AC$15,0)/VLOOKUP($H122,'Material impact data'!$E$19:$AM$61,4,0)*$I122</f>
        <v>0</v>
      </c>
      <c r="AD122" s="180">
        <f>VLOOKUP($H122,'Material impact data'!$E$19:$AM$61,'Material impact data'!AD$15,0)/VLOOKUP($H122,'Material impact data'!$E$19:$AM$61,4,0)*$I122</f>
        <v>0</v>
      </c>
      <c r="AE122" s="180">
        <f>VLOOKUP($H122,'Material impact data'!$E$19:$AM$61,'Material impact data'!AE$15,0)/VLOOKUP($H122,'Material impact data'!$E$19:$AM$61,4,0)*$I122</f>
        <v>0</v>
      </c>
      <c r="AF122" s="180">
        <f>VLOOKUP($H122,'Material impact data'!$E$19:$AM$61,'Material impact data'!AF$15,0)/VLOOKUP($H122,'Material impact data'!$E$19:$AM$61,4,0)*$I122</f>
        <v>0</v>
      </c>
      <c r="AG122" s="179">
        <f>VLOOKUP($H122,'Material impact data'!$E$19:$AM$61,'Material impact data'!AG$15,0)/VLOOKUP($H122,'Material impact data'!$E$19:$AM$61,4,0)*$I122</f>
        <v>0</v>
      </c>
      <c r="AH122" s="179">
        <f>VLOOKUP($H122,'Material impact data'!$E$19:$AM$61,'Material impact data'!AH$15,0)/VLOOKUP($H122,'Material impact data'!$E$19:$AM$61,4,0)*$I122</f>
        <v>0</v>
      </c>
      <c r="AI122" s="179">
        <f>VLOOKUP($H122,'Material impact data'!$E$19:$AM$61,'Material impact data'!AI$15,0)/VLOOKUP($H122,'Material impact data'!$E$19:$AM$61,4,0)*$I122</f>
        <v>0</v>
      </c>
      <c r="AJ122" s="179">
        <f>VLOOKUP($H122,'Material impact data'!$E$19:$AM$61,'Material impact data'!AJ$15,0)/VLOOKUP($H122,'Material impact data'!$E$19:$AM$61,4,0)*$I122</f>
        <v>0</v>
      </c>
      <c r="AK122" s="179">
        <f>VLOOKUP($H122,'Material impact data'!$E$19:$AM$61,'Material impact data'!AK$15,0)/VLOOKUP($H122,'Material impact data'!$E$19:$AM$61,4,0)*$I122</f>
        <v>0</v>
      </c>
      <c r="AL122" s="179">
        <f>VLOOKUP($H122,'Material impact data'!$E$19:$AM$61,'Material impact data'!AL$15,0)/VLOOKUP($H122,'Material impact data'!$E$19:$AM$61,4,0)*$I122</f>
        <v>0</v>
      </c>
      <c r="AM122" s="179">
        <f>VLOOKUP($H122,'Material impact data'!$E$19:$AM$61,'Material impact data'!AM$15,0)/VLOOKUP($H122,'Material impact data'!$E$19:$AM$61,4,0)*$I122</f>
        <v>0</v>
      </c>
      <c r="AO122" s="189">
        <f>M122/'Building &amp; Material inputs'!$C$18/'Building &amp; Material inputs'!$C$19</f>
        <v>0</v>
      </c>
      <c r="AP122" s="189">
        <f>N122/'Building &amp; Material inputs'!$C$18/'Building &amp; Material inputs'!$C$19</f>
        <v>0</v>
      </c>
      <c r="AQ122" s="141">
        <f>O122/'Building &amp; Material inputs'!$C$18/'Building &amp; Material inputs'!$C$19</f>
        <v>0</v>
      </c>
      <c r="AR122" s="141">
        <f>P122/'Building &amp; Material inputs'!$C$18/'Building &amp; Material inputs'!$C$19</f>
        <v>0</v>
      </c>
      <c r="AS122" s="188">
        <f>Q122/'Building &amp; Material inputs'!$C$18/'Building &amp; Material inputs'!$C$19</f>
        <v>0</v>
      </c>
      <c r="AT122" s="188">
        <f>R122/'Building &amp; Material inputs'!$C$18/'Building &amp; Material inputs'!$C$19</f>
        <v>0</v>
      </c>
      <c r="AU122" s="189">
        <f>S122/'Building &amp; Material inputs'!$C$18/'Building &amp; Material inputs'!$C$19</f>
        <v>0</v>
      </c>
      <c r="AV122" s="189">
        <f>T122/'Building &amp; Material inputs'!$C$18/'Building &amp; Material inputs'!$C$19</f>
        <v>0</v>
      </c>
      <c r="AW122" s="189">
        <f>U122/'Building &amp; Material inputs'!$C$18/'Building &amp; Material inputs'!$C$19</f>
        <v>0</v>
      </c>
      <c r="AX122" s="189">
        <f>V122/'Building &amp; Material inputs'!$C$18/'Building &amp; Material inputs'!$C$19</f>
        <v>0</v>
      </c>
      <c r="AY122" s="189">
        <f>W122/'Building &amp; Material inputs'!$C$18/'Building &amp; Material inputs'!$C$19</f>
        <v>0</v>
      </c>
      <c r="AZ122" s="189">
        <f>X122/'Building &amp; Material inputs'!$C$18/'Building &amp; Material inputs'!$C$19</f>
        <v>0</v>
      </c>
      <c r="BA122" s="189">
        <f>Y122/'Building &amp; Material inputs'!$C$18/'Building &amp; Material inputs'!$C$19</f>
        <v>0</v>
      </c>
      <c r="BB122" s="141">
        <f>Z122/'Building &amp; Material inputs'!$C$18/'Building &amp; Material inputs'!$C$19</f>
        <v>0</v>
      </c>
      <c r="BC122" s="141">
        <f>AA122/'Building &amp; Material inputs'!$C$18/'Building &amp; Material inputs'!$C$19</f>
        <v>0</v>
      </c>
      <c r="BD122" s="141">
        <f>AB122/'Building &amp; Material inputs'!$C$18/'Building &amp; Material inputs'!$C$19</f>
        <v>0</v>
      </c>
      <c r="BE122" s="141">
        <f>AC122/'Building &amp; Material inputs'!$C$18/'Building &amp; Material inputs'!$C$19</f>
        <v>0</v>
      </c>
      <c r="BF122" s="141">
        <f>AD122/'Building &amp; Material inputs'!$C$18/'Building &amp; Material inputs'!$C$19</f>
        <v>0</v>
      </c>
      <c r="BG122" s="141">
        <f>AE122/'Building &amp; Material inputs'!$C$18/'Building &amp; Material inputs'!$C$19</f>
        <v>0</v>
      </c>
      <c r="BH122" s="141">
        <f>AF122/'Building &amp; Material inputs'!$C$18/'Building &amp; Material inputs'!$C$19</f>
        <v>0</v>
      </c>
      <c r="BI122" s="188">
        <f>AG122/'Building &amp; Material inputs'!$C$18/'Building &amp; Material inputs'!$C$19</f>
        <v>0</v>
      </c>
      <c r="BJ122" s="188">
        <f>AH122/'Building &amp; Material inputs'!$C$18/'Building &amp; Material inputs'!$C$19</f>
        <v>0</v>
      </c>
      <c r="BK122" s="188">
        <f>AI122/'Building &amp; Material inputs'!$C$18/'Building &amp; Material inputs'!$C$19</f>
        <v>0</v>
      </c>
      <c r="BL122" s="188">
        <f>AJ122/'Building &amp; Material inputs'!$C$18/'Building &amp; Material inputs'!$C$19</f>
        <v>0</v>
      </c>
      <c r="BM122" s="188">
        <f>AK122/'Building &amp; Material inputs'!$C$18/'Building &amp; Material inputs'!$C$19</f>
        <v>0</v>
      </c>
      <c r="BN122" s="188">
        <f>AL122/'Building &amp; Material inputs'!$C$18/'Building &amp; Material inputs'!$C$19</f>
        <v>0</v>
      </c>
      <c r="BO122" s="188">
        <f>AM122/'Building &amp; Material inputs'!$C$18/'Building &amp; Material inputs'!$C$19</f>
        <v>0</v>
      </c>
      <c r="BV122" s="203" t="s">
        <v>662</v>
      </c>
      <c r="BW122" s="214">
        <f>$AV$37</f>
        <v>9.5353125524231146</v>
      </c>
      <c r="BX122" s="219">
        <f>$BC$37</f>
        <v>0.52136891076421255</v>
      </c>
      <c r="BY122" s="224">
        <f>$BJ$37</f>
        <v>3.2952679209459469E-2</v>
      </c>
      <c r="CA122" s="203" t="s">
        <v>662</v>
      </c>
      <c r="CB122" s="216">
        <f>$AY$37</f>
        <v>9.7981367287977637E-4</v>
      </c>
      <c r="CC122" s="221">
        <f>$BF$37</f>
        <v>2.5867726449207827E-5</v>
      </c>
      <c r="CD122" s="226">
        <f>$BM$37</f>
        <v>1.7632784115027961E-6</v>
      </c>
    </row>
    <row r="123" spans="2:82" ht="15.75" thickBot="1" x14ac:dyDescent="0.3">
      <c r="B123" s="334"/>
      <c r="C123" s="305"/>
      <c r="D123" s="302" t="s">
        <v>162</v>
      </c>
      <c r="E123" s="9" t="s">
        <v>166</v>
      </c>
      <c r="F123" s="9" t="s">
        <v>212</v>
      </c>
      <c r="G123" s="50" t="s">
        <v>54</v>
      </c>
      <c r="H123" s="60" t="str">
        <f>'Material quantities'!G123</f>
        <v>WIN_PVC</v>
      </c>
      <c r="I123" s="38">
        <f>'Material quantities'!O123</f>
        <v>21.54</v>
      </c>
      <c r="J123" s="93" t="s">
        <v>332</v>
      </c>
      <c r="K123" s="2"/>
      <c r="L123" s="148">
        <f>VLOOKUP($H123,'Material impact data'!$E$19:$AM$61,6,0)/VLOOKUP($H123,'Material impact data'!$E$19:$AM$61,4,0)*$I123</f>
        <v>3165.5183999999999</v>
      </c>
      <c r="M123" s="138">
        <f>VLOOKUP($H123,'Material impact data'!$E$19:$AM$61,'Material impact data'!M$15,0)/VLOOKUP($H123,'Material impact data'!$E$19:$AM$61,4,0)*$I123</f>
        <v>1011.64764</v>
      </c>
      <c r="N123" s="138">
        <f>VLOOKUP($H123,'Material impact data'!$E$19:$AM$61,'Material impact data'!N$15,0)/VLOOKUP($H123,'Material impact data'!$E$19:$AM$61,4,0)*$I123</f>
        <v>25950.422700000003</v>
      </c>
      <c r="O123" s="180">
        <f>VLOOKUP($H123,'Material impact data'!$E$19:$AM$61,'Material impact data'!O$15,0)/VLOOKUP($H123,'Material impact data'!$E$19:$AM$61,4,0)*$I123</f>
        <v>0.17038139999999999</v>
      </c>
      <c r="P123" s="180">
        <f>VLOOKUP($H123,'Material impact data'!$E$19:$AM$61,'Material impact data'!P$15,0)/VLOOKUP($H123,'Material impact data'!$E$19:$AM$61,4,0)*$I123</f>
        <v>12.299339999999999</v>
      </c>
      <c r="Q123" s="179">
        <f>VLOOKUP($H123,'Material impact data'!$E$19:$AM$61,'Material impact data'!Q$15,0)/VLOOKUP($H123,'Material impact data'!$E$19:$AM$61,4,0)*$I123</f>
        <v>2.0592239999999999</v>
      </c>
      <c r="R123" s="179">
        <f>VLOOKUP($H123,'Material impact data'!$E$19:$AM$61,'Material impact data'!R$15,0)/VLOOKUP($H123,'Material impact data'!$E$19:$AM$61,4,0)*$I123</f>
        <v>44.803199999999997</v>
      </c>
      <c r="S123" s="138">
        <f>VLOOKUP($H123,'Material impact data'!$E$19:$AM$61,'Material impact data'!S$15,0)/VLOOKUP($H123,'Material impact data'!$E$19:$AM$61,4,0)*$I123</f>
        <v>12847.533000000001</v>
      </c>
      <c r="T123" s="138">
        <f>VLOOKUP($H123,'Material impact data'!$E$19:$AM$61,'Material impact data'!T$15,0)/VLOOKUP($H123,'Material impact data'!$E$19:$AM$61,4,0)*$I123</f>
        <v>22832.636939999997</v>
      </c>
      <c r="U123" s="138">
        <f>VLOOKUP($H123,'Material impact data'!$E$19:$AM$61,'Material impact data'!U$15,0)/VLOOKUP($H123,'Material impact data'!$E$19:$AM$61,4,0)*$I123</f>
        <v>10.082874</v>
      </c>
      <c r="V123" s="138">
        <f>VLOOKUP($H123,'Material impact data'!$E$19:$AM$61,'Material impact data'!V$15,0)/VLOOKUP($H123,'Material impact data'!$E$19:$AM$61,4,0)*$I123</f>
        <v>4.70431446</v>
      </c>
      <c r="W123" s="138">
        <f>VLOOKUP($H123,'Material impact data'!$E$19:$AM$61,'Material impact data'!W$15,0)/VLOOKUP($H123,'Material impact data'!$E$19:$AM$61,4,0)*$I123</f>
        <v>0.5696253</v>
      </c>
      <c r="X123" s="138">
        <f>VLOOKUP($H123,'Material impact data'!$E$19:$AM$61,'Material impact data'!X$15,0)/VLOOKUP($H123,'Material impact data'!$E$19:$AM$61,4,0)*$I123</f>
        <v>0.34876706400000002</v>
      </c>
      <c r="Y123" s="138">
        <f>VLOOKUP($H123,'Material impact data'!$E$19:$AM$61,'Material impact data'!Y$15,0)/VLOOKUP($H123,'Material impact data'!$E$19:$AM$61,4,0)*$I123</f>
        <v>2.1190405799999999E-5</v>
      </c>
      <c r="Z123" s="180">
        <f>VLOOKUP($H123,'Material impact data'!$E$19:$AM$61,'Material impact data'!Z$15,0)/VLOOKUP($H123,'Material impact data'!$E$19:$AM$61,4,0)*$I123</f>
        <v>7797.48</v>
      </c>
      <c r="AA123" s="180">
        <f>VLOOKUP($H123,'Material impact data'!$E$19:$AM$61,'Material impact data'!AA$15,0)/VLOOKUP($H123,'Material impact data'!$E$19:$AM$61,4,0)*$I123</f>
        <v>12.0624</v>
      </c>
      <c r="AB123" s="180">
        <f>VLOOKUP($H123,'Material impact data'!$E$19:$AM$61,'Material impact data'!AB$15,0)/VLOOKUP($H123,'Material impact data'!$E$19:$AM$61,4,0)*$I123</f>
        <v>5.5788599999999997E-3</v>
      </c>
      <c r="AC123" s="180">
        <f>VLOOKUP($H123,'Material impact data'!$E$19:$AM$61,'Material impact data'!AC$15,0)/VLOOKUP($H123,'Material impact data'!$E$19:$AM$61,4,0)*$I123</f>
        <v>3.1232999999999999E-3</v>
      </c>
      <c r="AD123" s="180">
        <f>VLOOKUP($H123,'Material impact data'!$E$19:$AM$61,'Material impact data'!AD$15,0)/VLOOKUP($H123,'Material impact data'!$E$19:$AM$61,4,0)*$I123</f>
        <v>4.9757399999999998E-4</v>
      </c>
      <c r="AE123" s="180">
        <f>VLOOKUP($H123,'Material impact data'!$E$19:$AM$61,'Material impact data'!AE$15,0)/VLOOKUP($H123,'Material impact data'!$E$19:$AM$61,4,0)*$I123</f>
        <v>1.4194859999999999E-4</v>
      </c>
      <c r="AF123" s="180">
        <f>VLOOKUP($H123,'Material impact data'!$E$19:$AM$61,'Material impact data'!AF$15,0)/VLOOKUP($H123,'Material impact data'!$E$19:$AM$61,4,0)*$I123</f>
        <v>1.348404E-7</v>
      </c>
      <c r="AG123" s="179">
        <f>VLOOKUP($H123,'Material impact data'!$E$19:$AM$61,'Material impact data'!AG$15,0)/VLOOKUP($H123,'Material impact data'!$E$19:$AM$61,4,0)*$I123</f>
        <v>10489.98</v>
      </c>
      <c r="AH123" s="179">
        <f>VLOOKUP($H123,'Material impact data'!$E$19:$AM$61,'Material impact data'!AH$15,0)/VLOOKUP($H123,'Material impact data'!$E$19:$AM$61,4,0)*$I123</f>
        <v>43.726199999999992</v>
      </c>
      <c r="AI123" s="179">
        <f>VLOOKUP($H123,'Material impact data'!$E$19:$AM$61,'Material impact data'!AI$15,0)/VLOOKUP($H123,'Material impact data'!$E$19:$AM$61,4,0)*$I123</f>
        <v>5.6650199999999992E-8</v>
      </c>
      <c r="AJ123" s="179">
        <f>VLOOKUP($H123,'Material impact data'!$E$19:$AM$61,'Material impact data'!AJ$15,0)/VLOOKUP($H123,'Material impact data'!$E$19:$AM$61,4,0)*$I123</f>
        <v>5.7080999999999998E-3</v>
      </c>
      <c r="AK123" s="179">
        <f>VLOOKUP($H123,'Material impact data'!$E$19:$AM$61,'Material impact data'!AK$15,0)/VLOOKUP($H123,'Material impact data'!$E$19:$AM$61,4,0)*$I123</f>
        <v>6.0311999999999996E-4</v>
      </c>
      <c r="AL123" s="179">
        <f>VLOOKUP($H123,'Material impact data'!$E$19:$AM$61,'Material impact data'!AL$15,0)/VLOOKUP($H123,'Material impact data'!$E$19:$AM$61,4,0)*$I123</f>
        <v>3.7479599999999999E-4</v>
      </c>
      <c r="AM123" s="179">
        <f>VLOOKUP($H123,'Material impact data'!$E$19:$AM$61,'Material impact data'!AM$15,0)/VLOOKUP($H123,'Material impact data'!$E$19:$AM$61,4,0)*$I123</f>
        <v>3.8556600000000003E-7</v>
      </c>
      <c r="AO123" s="189">
        <f>M123/'Building &amp; Material inputs'!$C$18/'Building &amp; Material inputs'!$C$19</f>
        <v>7.8568471575023308E-2</v>
      </c>
      <c r="AP123" s="189">
        <f>N123/'Building &amp; Material inputs'!$C$18/'Building &amp; Material inputs'!$C$19</f>
        <v>2.0154102749301028</v>
      </c>
      <c r="AQ123" s="141">
        <f>O123/'Building &amp; Material inputs'!$C$18/'Building &amp; Material inputs'!$C$19</f>
        <v>1.3232479030754892E-5</v>
      </c>
      <c r="AR123" s="141">
        <f>P123/'Building &amp; Material inputs'!$C$18/'Building &amp; Material inputs'!$C$19</f>
        <v>9.5521435228331788E-4</v>
      </c>
      <c r="AS123" s="188">
        <f>Q123/'Building &amp; Material inputs'!$C$18/'Building &amp; Material inputs'!$C$19</f>
        <v>1.599273066169618E-4</v>
      </c>
      <c r="AT123" s="188">
        <f>R123/'Building &amp; Material inputs'!$C$18/'Building &amp; Material inputs'!$C$19</f>
        <v>3.4795899347623486E-3</v>
      </c>
      <c r="AU123" s="189">
        <f>S123/'Building &amp; Material inputs'!$C$18/'Building &amp; Material inputs'!$C$19</f>
        <v>0.99778914259086693</v>
      </c>
      <c r="AV123" s="189">
        <f>T123/'Building &amp; Material inputs'!$C$18/'Building &amp; Material inputs'!$C$19</f>
        <v>1.7732709645852749</v>
      </c>
      <c r="AW123" s="189">
        <f>U123/'Building &amp; Material inputs'!$C$18/'Building &amp; Material inputs'!$C$19</f>
        <v>7.8307502329916137E-4</v>
      </c>
      <c r="AX123" s="189">
        <f>V123/'Building &amp; Material inputs'!$C$18/'Building &amp; Material inputs'!$C$19</f>
        <v>3.6535527027027029E-4</v>
      </c>
      <c r="AY123" s="189">
        <f>W123/'Building &amp; Material inputs'!$C$18/'Building &amp; Material inputs'!$C$19</f>
        <v>4.4239305684995343E-5</v>
      </c>
      <c r="AZ123" s="189">
        <f>X123/'Building &amp; Material inputs'!$C$18/'Building &amp; Material inputs'!$C$19</f>
        <v>2.7086600186393292E-5</v>
      </c>
      <c r="BA123" s="189">
        <f>Y123/'Building &amp; Material inputs'!$C$18/'Building &amp; Material inputs'!$C$19</f>
        <v>1.6457289375582479E-9</v>
      </c>
      <c r="BB123" s="141">
        <f>Z123/'Building &amp; Material inputs'!$C$18/'Building &amp; Material inputs'!$C$19</f>
        <v>0.60558247903075491</v>
      </c>
      <c r="BC123" s="141">
        <f>AA123/'Building &amp; Material inputs'!$C$18/'Building &amp; Material inputs'!$C$19</f>
        <v>9.3681267474370934E-4</v>
      </c>
      <c r="BD123" s="141">
        <f>AB123/'Building &amp; Material inputs'!$C$18/'Building &amp; Material inputs'!$C$19</f>
        <v>4.3327586206896558E-7</v>
      </c>
      <c r="BE123" s="141">
        <f>AC123/'Building &amp; Material inputs'!$C$18/'Building &amp; Material inputs'!$C$19</f>
        <v>2.4256756756756755E-7</v>
      </c>
      <c r="BF123" s="141">
        <f>AD123/'Building &amp; Material inputs'!$C$18/'Building &amp; Material inputs'!$C$19</f>
        <v>3.8643522833178001E-8</v>
      </c>
      <c r="BG123" s="141">
        <f>AE123/'Building &amp; Material inputs'!$C$18/'Building &amp; Material inputs'!$C$19</f>
        <v>1.1024277726001864E-8</v>
      </c>
      <c r="BH123" s="141">
        <f>AF123/'Building &amp; Material inputs'!$C$18/'Building &amp; Material inputs'!$C$19</f>
        <v>1.0472227399813608E-11</v>
      </c>
      <c r="BI123" s="188">
        <f>AG123/'Building &amp; Material inputs'!$C$18/'Building &amp; Material inputs'!$C$19</f>
        <v>0.81469245107176147</v>
      </c>
      <c r="BJ123" s="188">
        <f>AH123/'Building &amp; Material inputs'!$C$18/'Building &amp; Material inputs'!$C$19</f>
        <v>3.3959459459459457E-3</v>
      </c>
      <c r="BK123" s="188">
        <f>AI123/'Building &amp; Material inputs'!$C$18/'Building &amp; Material inputs'!$C$19</f>
        <v>4.3996738117427769E-12</v>
      </c>
      <c r="BL123" s="188">
        <f>AJ123/'Building &amp; Material inputs'!$C$18/'Building &amp; Material inputs'!$C$19</f>
        <v>4.4331314072693381E-7</v>
      </c>
      <c r="BM123" s="188">
        <f>AK123/'Building &amp; Material inputs'!$C$18/'Building &amp; Material inputs'!$C$19</f>
        <v>4.6840633737185461E-8</v>
      </c>
      <c r="BN123" s="188">
        <f>AL123/'Building &amp; Material inputs'!$C$18/'Building &amp; Material inputs'!$C$19</f>
        <v>2.9108108108108112E-8</v>
      </c>
      <c r="BO123" s="188">
        <f>AM123/'Building &amp; Material inputs'!$C$18/'Building &amp; Material inputs'!$C$19</f>
        <v>2.994454799627214E-11</v>
      </c>
      <c r="BQ123" s="354" t="s">
        <v>584</v>
      </c>
      <c r="BR123" s="300" t="s">
        <v>659</v>
      </c>
      <c r="BS123" s="335"/>
      <c r="BT123" s="301"/>
      <c r="BV123" s="204" t="s">
        <v>663</v>
      </c>
      <c r="BW123" s="214">
        <f>$AV$64</f>
        <v>16.016788288288289</v>
      </c>
      <c r="BX123" s="219">
        <f>$BC$64</f>
        <v>0.99506798695246967</v>
      </c>
      <c r="BY123" s="224">
        <f>$BJ$64</f>
        <v>1.0221381658900281E-2</v>
      </c>
      <c r="CA123" s="204" t="s">
        <v>663</v>
      </c>
      <c r="CB123" s="216">
        <f>$AY$64</f>
        <v>1.8033888226157194E-3</v>
      </c>
      <c r="CC123" s="221">
        <f>$BF$64</f>
        <v>2.2222987185461322E-4</v>
      </c>
      <c r="CD123" s="226">
        <f>$BM$64</f>
        <v>9.806809069294813E-5</v>
      </c>
    </row>
    <row r="124" spans="2:82" ht="15.75" thickBot="1" x14ac:dyDescent="0.3">
      <c r="B124" s="334"/>
      <c r="C124" s="305"/>
      <c r="D124" s="302"/>
      <c r="E124" s="302" t="s">
        <v>167</v>
      </c>
      <c r="F124" s="9" t="s">
        <v>213</v>
      </c>
      <c r="G124" s="7" t="s">
        <v>430</v>
      </c>
      <c r="H124" s="60" t="str">
        <f>'Material quantities'!G124</f>
        <v>DOOR_GL</v>
      </c>
      <c r="I124" s="38">
        <f>'Material quantities'!O124</f>
        <v>4</v>
      </c>
      <c r="J124" s="93" t="s">
        <v>14</v>
      </c>
      <c r="K124" s="2"/>
      <c r="L124" s="148">
        <f>VLOOKUP($H124,'Material impact data'!$E$19:$AM$61,6,0)/VLOOKUP($H124,'Material impact data'!$E$19:$AM$61,4,0)*$I124</f>
        <v>600.55999999999995</v>
      </c>
      <c r="M124" s="138">
        <f>VLOOKUP($H124,'Material impact data'!$E$19:$AM$61,'Material impact data'!M$15,0)/VLOOKUP($H124,'Material impact data'!$E$19:$AM$61,4,0)*$I124</f>
        <v>5600</v>
      </c>
      <c r="N124" s="138">
        <f>VLOOKUP($H124,'Material impact data'!$E$19:$AM$61,'Material impact data'!N$15,0)/VLOOKUP($H124,'Material impact data'!$E$19:$AM$61,4,0)*$I124</f>
        <v>4080</v>
      </c>
      <c r="O124" s="180">
        <f>VLOOKUP($H124,'Material impact data'!$E$19:$AM$61,'Material impact data'!O$15,0)/VLOOKUP($H124,'Material impact data'!$E$19:$AM$61,4,0)*$I124</f>
        <v>1.228</v>
      </c>
      <c r="P124" s="180">
        <f>VLOOKUP($H124,'Material impact data'!$E$19:$AM$61,'Material impact data'!P$15,0)/VLOOKUP($H124,'Material impact data'!$E$19:$AM$61,4,0)*$I124</f>
        <v>22.08</v>
      </c>
      <c r="Q124" s="179">
        <f>VLOOKUP($H124,'Material impact data'!$E$19:$AM$61,'Material impact data'!Q$15,0)/VLOOKUP($H124,'Material impact data'!$E$19:$AM$61,4,0)*$I124</f>
        <v>4.04</v>
      </c>
      <c r="R124" s="179">
        <f>VLOOKUP($H124,'Material impact data'!$E$19:$AM$61,'Material impact data'!R$15,0)/VLOOKUP($H124,'Material impact data'!$E$19:$AM$61,4,0)*$I124</f>
        <v>13.56</v>
      </c>
      <c r="S124" s="138">
        <f>VLOOKUP($H124,'Material impact data'!$E$19:$AM$61,'Material impact data'!S$15,0)/VLOOKUP($H124,'Material impact data'!$E$19:$AM$61,4,0)*$I124</f>
        <v>172</v>
      </c>
      <c r="T124" s="138">
        <f>VLOOKUP($H124,'Material impact data'!$E$19:$AM$61,'Material impact data'!T$15,0)/VLOOKUP($H124,'Material impact data'!$E$19:$AM$61,4,0)*$I124</f>
        <v>0</v>
      </c>
      <c r="U124" s="138">
        <f>VLOOKUP($H124,'Material impact data'!$E$19:$AM$61,'Material impact data'!U$15,0)/VLOOKUP($H124,'Material impact data'!$E$19:$AM$61,4,0)*$I124</f>
        <v>0</v>
      </c>
      <c r="V124" s="138">
        <f>VLOOKUP($H124,'Material impact data'!$E$19:$AM$61,'Material impact data'!V$15,0)/VLOOKUP($H124,'Material impact data'!$E$19:$AM$61,4,0)*$I124</f>
        <v>1.3720000000000001</v>
      </c>
      <c r="W124" s="138">
        <f>VLOOKUP($H124,'Material impact data'!$E$19:$AM$61,'Material impact data'!W$15,0)/VLOOKUP($H124,'Material impact data'!$E$19:$AM$61,4,0)*$I124</f>
        <v>5.64E-3</v>
      </c>
      <c r="X124" s="138">
        <f>VLOOKUP($H124,'Material impact data'!$E$19:$AM$61,'Material impact data'!X$15,0)/VLOOKUP($H124,'Material impact data'!$E$19:$AM$61,4,0)*$I124</f>
        <v>0.88800000000000001</v>
      </c>
      <c r="Y124" s="138">
        <f>VLOOKUP($H124,'Material impact data'!$E$19:$AM$61,'Material impact data'!Y$15,0)/VLOOKUP($H124,'Material impact data'!$E$19:$AM$61,4,0)*$I124</f>
        <v>5.2800000000000003E-6</v>
      </c>
      <c r="Z124" s="180">
        <f>VLOOKUP($H124,'Material impact data'!$E$19:$AM$61,'Material impact data'!Z$15,0)/VLOOKUP($H124,'Material impact data'!$E$19:$AM$61,4,0)*$I124</f>
        <v>1.6679999999999999</v>
      </c>
      <c r="AA124" s="180">
        <f>VLOOKUP($H124,'Material impact data'!$E$19:$AM$61,'Material impact data'!AA$15,0)/VLOOKUP($H124,'Material impact data'!$E$19:$AM$61,4,0)*$I124</f>
        <v>0</v>
      </c>
      <c r="AB124" s="180">
        <f>VLOOKUP($H124,'Material impact data'!$E$19:$AM$61,'Material impact data'!AB$15,0)/VLOOKUP($H124,'Material impact data'!$E$19:$AM$61,4,0)*$I124</f>
        <v>0</v>
      </c>
      <c r="AC124" s="180">
        <f>VLOOKUP($H124,'Material impact data'!$E$19:$AM$61,'Material impact data'!AC$15,0)/VLOOKUP($H124,'Material impact data'!$E$19:$AM$61,4,0)*$I124</f>
        <v>5.3200000000000001E-3</v>
      </c>
      <c r="AD124" s="180">
        <f>VLOOKUP($H124,'Material impact data'!$E$19:$AM$61,'Material impact data'!AD$15,0)/VLOOKUP($H124,'Material impact data'!$E$19:$AM$61,4,0)*$I124</f>
        <v>4.9200000000000003E-6</v>
      </c>
      <c r="AE124" s="180">
        <f>VLOOKUP($H124,'Material impact data'!$E$19:$AM$61,'Material impact data'!AE$15,0)/VLOOKUP($H124,'Material impact data'!$E$19:$AM$61,4,0)*$I124</f>
        <v>4.7999999999999996E-3</v>
      </c>
      <c r="AF124" s="180">
        <f>VLOOKUP($H124,'Material impact data'!$E$19:$AM$61,'Material impact data'!AF$15,0)/VLOOKUP($H124,'Material impact data'!$E$19:$AM$61,4,0)*$I124</f>
        <v>2.116E-16</v>
      </c>
      <c r="AG124" s="179">
        <f>VLOOKUP($H124,'Material impact data'!$E$19:$AM$61,'Material impact data'!AG$15,0)/VLOOKUP($H124,'Material impact data'!$E$19:$AM$61,4,0)*$I124</f>
        <v>62.8</v>
      </c>
      <c r="AH124" s="179">
        <f>VLOOKUP($H124,'Material impact data'!$E$19:$AM$61,'Material impact data'!AH$15,0)/VLOOKUP($H124,'Material impact data'!$E$19:$AM$61,4,0)*$I124</f>
        <v>0</v>
      </c>
      <c r="AI124" s="179">
        <f>VLOOKUP($H124,'Material impact data'!$E$19:$AM$61,'Material impact data'!AI$15,0)/VLOOKUP($H124,'Material impact data'!$E$19:$AM$61,4,0)*$I124</f>
        <v>0</v>
      </c>
      <c r="AJ124" s="179">
        <f>VLOOKUP($H124,'Material impact data'!$E$19:$AM$61,'Material impact data'!AJ$15,0)/VLOOKUP($H124,'Material impact data'!$E$19:$AM$61,4,0)*$I124</f>
        <v>2.5319999999999999E-2</v>
      </c>
      <c r="AK124" s="179">
        <f>VLOOKUP($H124,'Material impact data'!$E$19:$AM$61,'Material impact data'!AK$15,0)/VLOOKUP($H124,'Material impact data'!$E$19:$AM$61,4,0)*$I124</f>
        <v>1.5680000000000001E-6</v>
      </c>
      <c r="AL124" s="179">
        <f>VLOOKUP($H124,'Material impact data'!$E$19:$AM$61,'Material impact data'!AL$15,0)/VLOOKUP($H124,'Material impact data'!$E$19:$AM$61,4,0)*$I124</f>
        <v>2.8760000000000001E-2</v>
      </c>
      <c r="AM124" s="179">
        <f>VLOOKUP($H124,'Material impact data'!$E$19:$AM$61,'Material impact data'!AM$15,0)/VLOOKUP($H124,'Material impact data'!$E$19:$AM$61,4,0)*$I124</f>
        <v>7.2399999999999993E-15</v>
      </c>
      <c r="AO124" s="189">
        <f>M124/'Building &amp; Material inputs'!$C$18/'Building &amp; Material inputs'!$C$19</f>
        <v>0.43491767629698663</v>
      </c>
      <c r="AP124" s="189">
        <f>N124/'Building &amp; Material inputs'!$C$18/'Building &amp; Material inputs'!$C$19</f>
        <v>0.3168685927306617</v>
      </c>
      <c r="AQ124" s="141">
        <f>O124/'Building &amp; Material inputs'!$C$18/'Building &amp; Material inputs'!$C$19</f>
        <v>9.5371233302267796E-5</v>
      </c>
      <c r="AR124" s="141">
        <f>P124/'Building &amp; Material inputs'!$C$18/'Building &amp; Material inputs'!$C$19</f>
        <v>1.7148182665424044E-3</v>
      </c>
      <c r="AS124" s="188">
        <f>Q124/'Building &amp; Material inputs'!$C$18/'Building &amp; Material inputs'!$C$19</f>
        <v>3.1376203789996895E-4</v>
      </c>
      <c r="AT124" s="188">
        <f>R124/'Building &amp; Material inputs'!$C$18/'Building &amp; Material inputs'!$C$19</f>
        <v>1.0531220876048464E-3</v>
      </c>
      <c r="AU124" s="189">
        <f>S124/'Building &amp; Material inputs'!$C$18/'Building &amp; Material inputs'!$C$19</f>
        <v>1.3358185771978877E-2</v>
      </c>
      <c r="AV124" s="189">
        <f>T124/'Building &amp; Material inputs'!$C$18/'Building &amp; Material inputs'!$C$19</f>
        <v>0</v>
      </c>
      <c r="AW124" s="189">
        <f>U124/'Building &amp; Material inputs'!$C$18/'Building &amp; Material inputs'!$C$19</f>
        <v>0</v>
      </c>
      <c r="AX124" s="189">
        <f>V124/'Building &amp; Material inputs'!$C$18/'Building &amp; Material inputs'!$C$19</f>
        <v>1.0655483069276174E-4</v>
      </c>
      <c r="AY124" s="189">
        <f>W124/'Building &amp; Material inputs'!$C$18/'Building &amp; Material inputs'!$C$19</f>
        <v>4.3802423112767947E-7</v>
      </c>
      <c r="AZ124" s="189">
        <f>X124/'Building &amp; Material inputs'!$C$18/'Building &amp; Material inputs'!$C$19</f>
        <v>6.8965517241379313E-5</v>
      </c>
      <c r="BA124" s="189">
        <f>Y124/'Building &amp; Material inputs'!$C$18/'Building &amp; Material inputs'!$C$19</f>
        <v>4.1006523765144456E-10</v>
      </c>
      <c r="BB124" s="141">
        <f>Z124/'Building &amp; Material inputs'!$C$18/'Building &amp; Material inputs'!$C$19</f>
        <v>1.2954333643988819E-4</v>
      </c>
      <c r="BC124" s="141">
        <f>AA124/'Building &amp; Material inputs'!$C$18/'Building &amp; Material inputs'!$C$19</f>
        <v>0</v>
      </c>
      <c r="BD124" s="141">
        <f>AB124/'Building &amp; Material inputs'!$C$18/'Building &amp; Material inputs'!$C$19</f>
        <v>0</v>
      </c>
      <c r="BE124" s="141">
        <f>AC124/'Building &amp; Material inputs'!$C$18/'Building &amp; Material inputs'!$C$19</f>
        <v>4.1317179248213738E-7</v>
      </c>
      <c r="BF124" s="141">
        <f>AD124/'Building &amp; Material inputs'!$C$18/'Building &amp; Material inputs'!$C$19</f>
        <v>3.8210624417520974E-10</v>
      </c>
      <c r="BG124" s="141">
        <f>AE124/'Building &amp; Material inputs'!$C$18/'Building &amp; Material inputs'!$C$19</f>
        <v>3.7278657968313141E-7</v>
      </c>
      <c r="BH124" s="141">
        <f>AF124/'Building &amp; Material inputs'!$C$18/'Building &amp; Material inputs'!$C$19</f>
        <v>1.643367505436471E-20</v>
      </c>
      <c r="BI124" s="188">
        <f>AG124/'Building &amp; Material inputs'!$C$18/'Building &amp; Material inputs'!$C$19</f>
        <v>4.8772910841876358E-3</v>
      </c>
      <c r="BJ124" s="188">
        <f>AH124/'Building &amp; Material inputs'!$C$18/'Building &amp; Material inputs'!$C$19</f>
        <v>0</v>
      </c>
      <c r="BK124" s="188">
        <f>AI124/'Building &amp; Material inputs'!$C$18/'Building &amp; Material inputs'!$C$19</f>
        <v>0</v>
      </c>
      <c r="BL124" s="188">
        <f>AJ124/'Building &amp; Material inputs'!$C$18/'Building &amp; Material inputs'!$C$19</f>
        <v>1.9664492078285183E-6</v>
      </c>
      <c r="BM124" s="188">
        <f>AK124/'Building &amp; Material inputs'!$C$18/'Building &amp; Material inputs'!$C$19</f>
        <v>1.2177694936315629E-10</v>
      </c>
      <c r="BN124" s="188">
        <f>AL124/'Building &amp; Material inputs'!$C$18/'Building &amp; Material inputs'!$C$19</f>
        <v>2.2336129232680957E-6</v>
      </c>
      <c r="BO124" s="188">
        <f>AM124/'Building &amp; Material inputs'!$C$18/'Building &amp; Material inputs'!$C$19</f>
        <v>5.6228642435538981E-19</v>
      </c>
      <c r="BQ124" s="355"/>
      <c r="BR124" s="213" t="s">
        <v>39</v>
      </c>
      <c r="BS124" s="218" t="s">
        <v>660</v>
      </c>
      <c r="BT124" s="223" t="s">
        <v>661</v>
      </c>
      <c r="BV124" s="204" t="s">
        <v>664</v>
      </c>
      <c r="BW124" s="214">
        <f>$AV$108</f>
        <v>31.168264552190397</v>
      </c>
      <c r="BX124" s="219">
        <f>$BC$108</f>
        <v>2.4967268117241237</v>
      </c>
      <c r="BY124" s="224">
        <f>$BJ$108</f>
        <v>0.19878912919423827</v>
      </c>
      <c r="CA124" s="204" t="s">
        <v>664</v>
      </c>
      <c r="CB124" s="216">
        <f>$AY$108</f>
        <v>1.3373177081623154E-3</v>
      </c>
      <c r="CC124" s="221">
        <f>$BF$108</f>
        <v>2.478526155500942E-4</v>
      </c>
      <c r="CD124" s="226">
        <f>$BM$108</f>
        <v>1.9292291469237191E-5</v>
      </c>
    </row>
    <row r="125" spans="2:82" ht="15.75" thickBot="1" x14ac:dyDescent="0.3">
      <c r="B125" s="334"/>
      <c r="C125" s="305"/>
      <c r="D125" s="302"/>
      <c r="E125" s="302"/>
      <c r="F125" s="9" t="s">
        <v>214</v>
      </c>
      <c r="G125" s="7" t="s">
        <v>426</v>
      </c>
      <c r="H125" s="60" t="str">
        <f>'Material quantities'!G125</f>
        <v>DOOR_W</v>
      </c>
      <c r="I125" s="38">
        <f>'Material quantities'!O125</f>
        <v>4</v>
      </c>
      <c r="J125" s="93" t="s">
        <v>534</v>
      </c>
      <c r="K125" s="2"/>
      <c r="L125" s="148">
        <f>VLOOKUP($H125,'Material impact data'!$E$19:$AM$61,6,0)/VLOOKUP($H125,'Material impact data'!$E$19:$AM$61,4,0)*$I125</f>
        <v>1096.7316861725185</v>
      </c>
      <c r="M125" s="138">
        <f>VLOOKUP($H125,'Material impact data'!$E$19:$AM$61,'Material impact data'!M$15,0)/VLOOKUP($H125,'Material impact data'!$E$19:$AM$61,4,0)*$I125</f>
        <v>1691.2052015604681</v>
      </c>
      <c r="N125" s="138">
        <f>VLOOKUP($H125,'Material impact data'!$E$19:$AM$61,'Material impact data'!N$15,0)/VLOOKUP($H125,'Material impact data'!$E$19:$AM$61,4,0)*$I125</f>
        <v>1763.502384048548</v>
      </c>
      <c r="O125" s="180">
        <f>VLOOKUP($H125,'Material impact data'!$E$19:$AM$61,'Material impact data'!O$15,0)/VLOOKUP($H125,'Material impact data'!$E$19:$AM$61,4,0)*$I125</f>
        <v>0</v>
      </c>
      <c r="P125" s="180">
        <f>VLOOKUP($H125,'Material impact data'!$E$19:$AM$61,'Material impact data'!P$15,0)/VLOOKUP($H125,'Material impact data'!$E$19:$AM$61,4,0)*$I125</f>
        <v>0</v>
      </c>
      <c r="Q125" s="179">
        <f>VLOOKUP($H125,'Material impact data'!$E$19:$AM$61,'Material impact data'!Q$15,0)/VLOOKUP($H125,'Material impact data'!$E$19:$AM$61,4,0)*$I125</f>
        <v>75.977459904638067</v>
      </c>
      <c r="R125" s="179">
        <f>VLOOKUP($H125,'Material impact data'!$E$19:$AM$61,'Material impact data'!R$15,0)/VLOOKUP($H125,'Material impact data'!$E$19:$AM$61,4,0)*$I125</f>
        <v>26.909406155179887</v>
      </c>
      <c r="S125" s="138">
        <f>VLOOKUP($H125,'Material impact data'!$E$19:$AM$61,'Material impact data'!S$15,0)/VLOOKUP($H125,'Material impact data'!$E$19:$AM$61,4,0)*$I125</f>
        <v>9.0853922843519737</v>
      </c>
      <c r="T125" s="138">
        <f>VLOOKUP($H125,'Material impact data'!$E$19:$AM$61,'Material impact data'!T$15,0)/VLOOKUP($H125,'Material impact data'!$E$19:$AM$61,4,0)*$I125</f>
        <v>1620.2860858257477</v>
      </c>
      <c r="U125" s="138">
        <f>VLOOKUP($H125,'Material impact data'!$E$19:$AM$61,'Material impact data'!U$15,0)/VLOOKUP($H125,'Material impact data'!$E$19:$AM$61,4,0)*$I125</f>
        <v>2.9903771131339404E-3</v>
      </c>
      <c r="V125" s="138">
        <f>VLOOKUP($H125,'Material impact data'!$E$19:$AM$61,'Material impact data'!V$15,0)/VLOOKUP($H125,'Material impact data'!$E$19:$AM$61,4,0)*$I125</f>
        <v>0.48395318595578674</v>
      </c>
      <c r="W125" s="138">
        <f>VLOOKUP($H125,'Material impact data'!$E$19:$AM$61,'Material impact data'!W$15,0)/VLOOKUP($H125,'Material impact data'!$E$19:$AM$61,4,0)*$I125</f>
        <v>9.5722583441699177E-2</v>
      </c>
      <c r="X125" s="138">
        <f>VLOOKUP($H125,'Material impact data'!$E$19:$AM$61,'Material impact data'!X$15,0)/VLOOKUP($H125,'Material impact data'!$E$19:$AM$61,4,0)*$I125</f>
        <v>0.26929345470307764</v>
      </c>
      <c r="Y125" s="138">
        <f>VLOOKUP($H125,'Material impact data'!$E$19:$AM$61,'Material impact data'!Y$15,0)/VLOOKUP($H125,'Material impact data'!$E$19:$AM$61,4,0)*$I125</f>
        <v>4.0398786302557436E-6</v>
      </c>
      <c r="Z125" s="180">
        <f>VLOOKUP($H125,'Material impact data'!$E$19:$AM$61,'Material impact data'!Z$15,0)/VLOOKUP($H125,'Material impact data'!$E$19:$AM$61,4,0)*$I125</f>
        <v>0.99003034243606414</v>
      </c>
      <c r="AA125" s="180">
        <f>VLOOKUP($H125,'Material impact data'!$E$19:$AM$61,'Material impact data'!AA$15,0)/VLOOKUP($H125,'Material impact data'!$E$19:$AM$61,4,0)*$I125</f>
        <v>108.95361941915908</v>
      </c>
      <c r="AB125" s="180">
        <f>VLOOKUP($H125,'Material impact data'!$E$19:$AM$61,'Material impact data'!AB$15,0)/VLOOKUP($H125,'Material impact data'!$E$19:$AM$61,4,0)*$I125</f>
        <v>5.9471174685739054E-4</v>
      </c>
      <c r="AC125" s="180">
        <f>VLOOKUP($H125,'Material impact data'!$E$19:$AM$61,'Material impact data'!AC$15,0)/VLOOKUP($H125,'Material impact data'!$E$19:$AM$61,4,0)*$I125</f>
        <v>6.9354139575205892E-2</v>
      </c>
      <c r="AD125" s="180">
        <f>VLOOKUP($H125,'Material impact data'!$E$19:$AM$61,'Material impact data'!AD$15,0)/VLOOKUP($H125,'Material impact data'!$E$19:$AM$61,4,0)*$I125</f>
        <v>1.387082791504118E-2</v>
      </c>
      <c r="AE125" s="180">
        <f>VLOOKUP($H125,'Material impact data'!$E$19:$AM$61,'Material impact data'!AE$15,0)/VLOOKUP($H125,'Material impact data'!$E$19:$AM$61,4,0)*$I125</f>
        <v>3.4677069787602951E-3</v>
      </c>
      <c r="AF125" s="180">
        <f>VLOOKUP($H125,'Material impact data'!$E$19:$AM$61,'Material impact data'!AF$15,0)/VLOOKUP($H125,'Material impact data'!$E$19:$AM$61,4,0)*$I125</f>
        <v>1.2882531426094495E-3</v>
      </c>
      <c r="AG125" s="179">
        <f>VLOOKUP($H125,'Material impact data'!$E$19:$AM$61,'Material impact data'!AG$15,0)/VLOOKUP($H125,'Material impact data'!$E$19:$AM$61,4,0)*$I125</f>
        <v>18.448201127004769</v>
      </c>
      <c r="AH125" s="179">
        <f>VLOOKUP($H125,'Material impact data'!$E$19:$AM$61,'Material impact data'!AH$15,0)/VLOOKUP($H125,'Material impact data'!$E$19:$AM$61,4,0)*$I125</f>
        <v>5.5760728218465543</v>
      </c>
      <c r="AI125" s="179">
        <f>VLOOKUP($H125,'Material impact data'!$E$19:$AM$61,'Material impact data'!AI$15,0)/VLOOKUP($H125,'Material impact data'!$E$19:$AM$61,4,0)*$I125</f>
        <v>6.4534026874729085E-7</v>
      </c>
      <c r="AJ125" s="179">
        <f>VLOOKUP($H125,'Material impact data'!$E$19:$AM$61,'Material impact data'!AJ$15,0)/VLOOKUP($H125,'Material impact data'!$E$19:$AM$61,4,0)*$I125</f>
        <v>6.0511486779367147E-3</v>
      </c>
      <c r="AK125" s="179">
        <f>VLOOKUP($H125,'Material impact data'!$E$19:$AM$61,'Material impact data'!AK$15,0)/VLOOKUP($H125,'Material impact data'!$E$19:$AM$61,4,0)*$I125</f>
        <v>1.3721716514954487E-3</v>
      </c>
      <c r="AL125" s="179">
        <f>VLOOKUP($H125,'Material impact data'!$E$19:$AM$61,'Material impact data'!AL$15,0)/VLOOKUP($H125,'Material impact data'!$E$19:$AM$61,4,0)*$I125</f>
        <v>3.5405288253142613E-4</v>
      </c>
      <c r="AM125" s="179">
        <f>VLOOKUP($H125,'Material impact data'!$E$19:$AM$61,'Material impact data'!AM$15,0)/VLOOKUP($H125,'Material impact data'!$E$19:$AM$61,4,0)*$I125</f>
        <v>6.9440832249674911E-15</v>
      </c>
      <c r="AO125" s="189">
        <f>M125/'Building &amp; Material inputs'!$C$18/'Building &amp; Material inputs'!$C$19</f>
        <v>0.13134554221500996</v>
      </c>
      <c r="AP125" s="189">
        <f>N125/'Building &amp; Material inputs'!$C$18/'Building &amp; Material inputs'!$C$19</f>
        <v>0.13696042125260549</v>
      </c>
      <c r="AQ125" s="141">
        <f>O125/'Building &amp; Material inputs'!$C$18/'Building &amp; Material inputs'!$C$19</f>
        <v>0</v>
      </c>
      <c r="AR125" s="141">
        <f>P125/'Building &amp; Material inputs'!$C$18/'Building &amp; Material inputs'!$C$19</f>
        <v>0</v>
      </c>
      <c r="AS125" s="188">
        <f>Q125/'Building &amp; Material inputs'!$C$18/'Building &amp; Material inputs'!$C$19</f>
        <v>5.9007036272629753E-3</v>
      </c>
      <c r="AT125" s="188">
        <f>R125/'Building &amp; Material inputs'!$C$18/'Building &amp; Material inputs'!$C$19</f>
        <v>2.0898886420611905E-3</v>
      </c>
      <c r="AU125" s="189">
        <f>S125/'Building &amp; Material inputs'!$C$18/'Building &amp; Material inputs'!$C$19</f>
        <v>7.0560673224230933E-4</v>
      </c>
      <c r="AV125" s="189">
        <f>T125/'Building &amp; Material inputs'!$C$18/'Building &amp; Material inputs'!$C$19</f>
        <v>0.12583768917565608</v>
      </c>
      <c r="AW125" s="189">
        <f>U125/'Building &amp; Material inputs'!$C$18/'Building &amp; Material inputs'!$C$19</f>
        <v>2.3224426165998297E-7</v>
      </c>
      <c r="AX125" s="189">
        <f>V125/'Building &amp; Material inputs'!$C$18/'Building &amp; Material inputs'!$C$19</f>
        <v>3.7585677691502545E-5</v>
      </c>
      <c r="AY125" s="189">
        <f>W125/'Building &amp; Material inputs'!$C$18/'Building &amp; Material inputs'!$C$19</f>
        <v>7.4341863499300399E-6</v>
      </c>
      <c r="AZ125" s="189">
        <f>X125/'Building &amp; Material inputs'!$C$18/'Building &amp; Material inputs'!$C$19</f>
        <v>2.0914372064544711E-5</v>
      </c>
      <c r="BA125" s="189">
        <f>Y125/'Building &amp; Material inputs'!$C$18/'Building &amp; Material inputs'!$C$19</f>
        <v>3.1375261185583598E-10</v>
      </c>
      <c r="BB125" s="141">
        <f>Z125/'Building &amp; Material inputs'!$C$18/'Building &amp; Material inputs'!$C$19</f>
        <v>7.6889588570679108E-5</v>
      </c>
      <c r="BC125" s="141">
        <f>AA125/'Building &amp; Material inputs'!$C$18/'Building &amp; Material inputs'!$C$19</f>
        <v>8.4617598182012352E-3</v>
      </c>
      <c r="BD125" s="141">
        <f>AB125/'Building &amp; Material inputs'!$C$18/'Building &amp; Material inputs'!$C$19</f>
        <v>4.6187616251738939E-8</v>
      </c>
      <c r="BE125" s="141">
        <f>AC125/'Building &amp; Material inputs'!$C$18/'Building &amp; Material inputs'!$C$19</f>
        <v>5.3863109331473974E-6</v>
      </c>
      <c r="BF125" s="141">
        <f>AD125/'Building &amp; Material inputs'!$C$18/'Building &amp; Material inputs'!$C$19</f>
        <v>1.0772621866294798E-6</v>
      </c>
      <c r="BG125" s="141">
        <f>AE125/'Building &amp; Material inputs'!$C$18/'Building &amp; Material inputs'!$C$19</f>
        <v>2.6931554665736996E-7</v>
      </c>
      <c r="BH125" s="141">
        <f>AF125/'Building &amp; Material inputs'!$C$18/'Building &amp; Material inputs'!$C$19</f>
        <v>1.0005072558321291E-7</v>
      </c>
      <c r="BI125" s="188">
        <f>AG125/'Building &amp; Material inputs'!$C$18/'Building &amp; Material inputs'!$C$19</f>
        <v>1.4327587082172081E-3</v>
      </c>
      <c r="BJ125" s="188">
        <f>AH125/'Building &amp; Material inputs'!$C$18/'Building &amp; Material inputs'!$C$19</f>
        <v>4.3305939902505086E-4</v>
      </c>
      <c r="BK125" s="188">
        <f>AI125/'Building &amp; Material inputs'!$C$18/'Building &amp; Material inputs'!$C$19</f>
        <v>5.0119623232936541E-11</v>
      </c>
      <c r="BL125" s="188">
        <f>AJ125/'Building &amp; Material inputs'!$C$18/'Building &amp; Material inputs'!$C$19</f>
        <v>4.699556289171105E-7</v>
      </c>
      <c r="BM125" s="188">
        <f>AK125/'Building &amp; Material inputs'!$C$18/'Building &amp; Material inputs'!$C$19</f>
        <v>1.0656816181232128E-7</v>
      </c>
      <c r="BN125" s="188">
        <f>AL125/'Building &amp; Material inputs'!$C$18/'Building &amp; Material inputs'!$C$19</f>
        <v>2.7497117313717471E-8</v>
      </c>
      <c r="BO125" s="188">
        <f>AM125/'Building &amp; Material inputs'!$C$18/'Building &amp; Material inputs'!$C$19</f>
        <v>5.3930438218138328E-19</v>
      </c>
      <c r="BQ125" s="203" t="s">
        <v>662</v>
      </c>
      <c r="BR125" s="214">
        <f>$AO$37</f>
        <v>1.4836307474370922</v>
      </c>
      <c r="BS125" s="219">
        <f>$AQ$37</f>
        <v>2.1502296551724139E-2</v>
      </c>
      <c r="BT125" s="224">
        <f>$AS$37</f>
        <v>5.2617931034482763E-4</v>
      </c>
      <c r="BV125" s="204" t="s">
        <v>665</v>
      </c>
      <c r="BW125" s="214">
        <f>$AV$126</f>
        <v>30.765535576718378</v>
      </c>
      <c r="BX125" s="219">
        <f>$BC$126</f>
        <v>0.90339116845442358</v>
      </c>
      <c r="BY125" s="224">
        <f>$BJ$126</f>
        <v>0.23693121925612354</v>
      </c>
      <c r="CA125" s="204" t="s">
        <v>665</v>
      </c>
      <c r="CB125" s="216">
        <f>$AY$126</f>
        <v>1.5292094662505203E-3</v>
      </c>
      <c r="CC125" s="221">
        <f>$BF$126</f>
        <v>2.4334369783709324E-5</v>
      </c>
      <c r="CD125" s="226">
        <f>$BM$126</f>
        <v>1.176462161940785E-5</v>
      </c>
    </row>
    <row r="126" spans="2:82" ht="15.75" thickBot="1" x14ac:dyDescent="0.3">
      <c r="B126" s="334"/>
      <c r="C126" s="306"/>
      <c r="D126" s="364" t="s">
        <v>611</v>
      </c>
      <c r="E126" s="362"/>
      <c r="F126" s="362"/>
      <c r="G126" s="362"/>
      <c r="H126" s="362"/>
      <c r="I126" s="362"/>
      <c r="J126" s="363"/>
      <c r="K126" s="128"/>
      <c r="L126" s="147">
        <f>SUM(L109:L125)</f>
        <v>76016.46362617251</v>
      </c>
      <c r="M126" s="201">
        <f>SUM(M109:M125)</f>
        <v>55695.36387756047</v>
      </c>
      <c r="N126" s="201">
        <f t="shared" ref="N126:AM126" si="7">SUM(N109:N125)</f>
        <v>440298.50094404852</v>
      </c>
      <c r="O126" s="201">
        <f t="shared" si="7"/>
        <v>564.24337429999991</v>
      </c>
      <c r="P126" s="201">
        <f t="shared" si="7"/>
        <v>11596.802173799999</v>
      </c>
      <c r="Q126" s="201">
        <f t="shared" si="7"/>
        <v>650.835827914638</v>
      </c>
      <c r="R126" s="201">
        <f t="shared" si="7"/>
        <v>3327.2256181551802</v>
      </c>
      <c r="S126" s="201">
        <f t="shared" si="7"/>
        <v>45928.679140284359</v>
      </c>
      <c r="T126" s="201">
        <f t="shared" si="7"/>
        <v>396137.03608582582</v>
      </c>
      <c r="U126" s="201">
        <f t="shared" si="7"/>
        <v>10.120271927665135</v>
      </c>
      <c r="V126" s="201">
        <f t="shared" si="7"/>
        <v>117.54052728195579</v>
      </c>
      <c r="W126" s="201">
        <f t="shared" si="7"/>
        <v>19.690101087441697</v>
      </c>
      <c r="X126" s="201">
        <f t="shared" si="7"/>
        <v>10.215178300503078</v>
      </c>
      <c r="Y126" s="201">
        <f t="shared" si="7"/>
        <v>1.5675403970677576E-4</v>
      </c>
      <c r="Z126" s="201">
        <f t="shared" si="7"/>
        <v>8655.5548112424349</v>
      </c>
      <c r="AA126" s="201">
        <f t="shared" si="7"/>
        <v>11632.064685019159</v>
      </c>
      <c r="AB126" s="201">
        <f t="shared" si="7"/>
        <v>6.2431766869513903E-3</v>
      </c>
      <c r="AC126" s="201">
        <f t="shared" si="7"/>
        <v>1.8331832371752061</v>
      </c>
      <c r="AD126" s="201">
        <f t="shared" si="7"/>
        <v>0.3133293453350412</v>
      </c>
      <c r="AE126" s="201">
        <f t="shared" si="7"/>
        <v>0.46565398051876039</v>
      </c>
      <c r="AF126" s="201">
        <f t="shared" si="7"/>
        <v>1.29231946690868E-3</v>
      </c>
      <c r="AG126" s="201">
        <f t="shared" si="7"/>
        <v>12147.006596827003</v>
      </c>
      <c r="AH126" s="201">
        <f t="shared" si="7"/>
        <v>3050.7263791418468</v>
      </c>
      <c r="AI126" s="201">
        <f t="shared" si="7"/>
        <v>5.7764459634747307E-5</v>
      </c>
      <c r="AJ126" s="201">
        <f t="shared" si="7"/>
        <v>1.2135102584579369</v>
      </c>
      <c r="AK126" s="201">
        <f t="shared" si="7"/>
        <v>0.15148126797149547</v>
      </c>
      <c r="AL126" s="201">
        <f t="shared" si="7"/>
        <v>0.39791651887653151</v>
      </c>
      <c r="AM126" s="201">
        <f t="shared" si="7"/>
        <v>2.8683247095432233E-6</v>
      </c>
      <c r="AO126" s="201">
        <f>SUM(AO109:AO125)</f>
        <v>4.3255175425256658</v>
      </c>
      <c r="AP126" s="201">
        <f t="shared" ref="AP126:BO126" si="8">SUM(AP109:AP125)</f>
        <v>34.195285876362888</v>
      </c>
      <c r="AQ126" s="201">
        <f t="shared" si="8"/>
        <v>4.3821324502951231E-2</v>
      </c>
      <c r="AR126" s="201">
        <f t="shared" si="8"/>
        <v>0.90065254534016781</v>
      </c>
      <c r="AS126" s="201">
        <f t="shared" si="8"/>
        <v>5.0546429629903557E-2</v>
      </c>
      <c r="AT126" s="201">
        <f t="shared" si="8"/>
        <v>0.25840522042211705</v>
      </c>
      <c r="AU126" s="201">
        <f t="shared" si="8"/>
        <v>3.5669990012647061</v>
      </c>
      <c r="AV126" s="201">
        <f t="shared" si="8"/>
        <v>30.765535576718378</v>
      </c>
      <c r="AW126" s="201">
        <f t="shared" si="8"/>
        <v>7.8597949112031186E-4</v>
      </c>
      <c r="AX126" s="201">
        <f t="shared" si="8"/>
        <v>9.1286523207483542E-3</v>
      </c>
      <c r="AY126" s="201">
        <f t="shared" si="8"/>
        <v>1.5292094662505203E-3</v>
      </c>
      <c r="AZ126" s="201">
        <f t="shared" si="8"/>
        <v>7.9335028739539282E-4</v>
      </c>
      <c r="BA126" s="201">
        <f t="shared" si="8"/>
        <v>1.2174125482042231E-8</v>
      </c>
      <c r="BB126" s="201">
        <f t="shared" si="8"/>
        <v>0.67222389027977913</v>
      </c>
      <c r="BC126" s="201">
        <f t="shared" si="8"/>
        <v>0.90339116845442358</v>
      </c>
      <c r="BD126" s="201">
        <f t="shared" si="8"/>
        <v>4.8486926739293193E-7</v>
      </c>
      <c r="BE126" s="201">
        <f t="shared" si="8"/>
        <v>1.4237210602479077E-4</v>
      </c>
      <c r="BF126" s="201">
        <f t="shared" si="8"/>
        <v>2.4334369783709324E-5</v>
      </c>
      <c r="BG126" s="201">
        <f t="shared" si="8"/>
        <v>3.6164490565296706E-5</v>
      </c>
      <c r="BH126" s="201">
        <f t="shared" si="8"/>
        <v>1.0036653206808636E-7</v>
      </c>
      <c r="BI126" s="201">
        <f t="shared" si="8"/>
        <v>0.94338355054574452</v>
      </c>
      <c r="BJ126" s="201">
        <f t="shared" si="8"/>
        <v>0.23693121925612354</v>
      </c>
      <c r="BK126" s="201">
        <f t="shared" si="8"/>
        <v>4.4862115280170317E-9</v>
      </c>
      <c r="BL126" s="201">
        <f t="shared" si="8"/>
        <v>9.4245903887693144E-5</v>
      </c>
      <c r="BM126" s="201">
        <f t="shared" si="8"/>
        <v>1.176462161940785E-5</v>
      </c>
      <c r="BN126" s="201">
        <f t="shared" si="8"/>
        <v>3.090373709820841E-5</v>
      </c>
      <c r="BO126" s="201">
        <f t="shared" si="8"/>
        <v>2.2276519956067287E-10</v>
      </c>
      <c r="BQ126" s="204" t="s">
        <v>663</v>
      </c>
      <c r="BR126" s="214">
        <f>$AO$64</f>
        <v>2.8141903665734698</v>
      </c>
      <c r="BS126" s="219">
        <f>$AQ$64</f>
        <v>3.6497579217148184E-2</v>
      </c>
      <c r="BT126" s="224">
        <f>$AS$64</f>
        <v>0</v>
      </c>
      <c r="BV126" s="47" t="s">
        <v>666</v>
      </c>
      <c r="BW126" s="215">
        <f>$AV$140</f>
        <v>10.299370254625067</v>
      </c>
      <c r="BX126" s="220">
        <f>$BC$140</f>
        <v>0.4276729125264554</v>
      </c>
      <c r="BY126" s="225">
        <f>$BJ$140</f>
        <v>0.13695543440854305</v>
      </c>
      <c r="CA126" s="47" t="s">
        <v>666</v>
      </c>
      <c r="CB126" s="217">
        <f>$AY$140</f>
        <v>4.3348939078429746E-4</v>
      </c>
      <c r="CC126" s="222">
        <f>$BF$140</f>
        <v>3.6366970740906323E-5</v>
      </c>
      <c r="CD126" s="227">
        <f>$BM$140</f>
        <v>8.7766863148492448E-6</v>
      </c>
    </row>
    <row r="127" spans="2:82" ht="15.75" thickBot="1" x14ac:dyDescent="0.3">
      <c r="B127" s="334"/>
      <c r="C127" s="304" t="s">
        <v>73</v>
      </c>
      <c r="D127" s="303" t="s">
        <v>497</v>
      </c>
      <c r="E127" s="303" t="s">
        <v>169</v>
      </c>
      <c r="F127" s="65" t="s">
        <v>215</v>
      </c>
      <c r="G127" s="66" t="s">
        <v>433</v>
      </c>
      <c r="H127" s="66" t="str">
        <f>'Material quantities'!G127</f>
        <v>CEFT</v>
      </c>
      <c r="I127" s="38">
        <f>'Material quantities'!O127</f>
        <v>134.32999999999998</v>
      </c>
      <c r="J127" s="68" t="s">
        <v>332</v>
      </c>
      <c r="K127" s="2"/>
      <c r="L127" s="144">
        <f>VLOOKUP($H127,'Material impact data'!$E$19:$AM$61,6,0)/VLOOKUP($H127,'Material impact data'!$E$19:$AM$61,4,0)*$I127</f>
        <v>4326.7692999999999</v>
      </c>
      <c r="M127" s="140">
        <f>VLOOKUP($H127,'Material impact data'!$E$19:$AM$61,'Material impact data'!M$15,0)/VLOOKUP($H127,'Material impact data'!$E$19:$AM$61,4,0)*$I127</f>
        <v>5480.6639999999989</v>
      </c>
      <c r="N127" s="140">
        <f>VLOOKUP($H127,'Material impact data'!$E$19:$AM$61,'Material impact data'!N$15,0)/VLOOKUP($H127,'Material impact data'!$E$19:$AM$61,4,0)*$I127</f>
        <v>25254.039999999997</v>
      </c>
      <c r="O127" s="185">
        <f>VLOOKUP($H127,'Material impact data'!$E$19:$AM$61,'Material impact data'!O$15,0)/VLOOKUP($H127,'Material impact data'!$E$19:$AM$61,4,0)*$I127</f>
        <v>1.7059909999999998</v>
      </c>
      <c r="P127" s="185">
        <f>VLOOKUP($H127,'Material impact data'!$E$19:$AM$61,'Material impact data'!P$15,0)/VLOOKUP($H127,'Material impact data'!$E$19:$AM$61,4,0)*$I127</f>
        <v>1234.4926999999998</v>
      </c>
      <c r="Q127" s="186">
        <f>VLOOKUP($H127,'Material impact data'!$E$19:$AM$61,'Material impact data'!Q$15,0)/VLOOKUP($H127,'Material impact data'!$E$19:$AM$61,4,0)*$I127</f>
        <v>270.00329999999997</v>
      </c>
      <c r="R127" s="186">
        <f>VLOOKUP($H127,'Material impact data'!$E$19:$AM$61,'Material impact data'!R$15,0)/VLOOKUP($H127,'Material impact data'!$E$19:$AM$61,4,0)*$I127</f>
        <v>1397.0319999999999</v>
      </c>
      <c r="S127" s="140">
        <f>VLOOKUP($H127,'Material impact data'!$E$19:$AM$61,'Material impact data'!S$15,0)/VLOOKUP($H127,'Material impact data'!$E$19:$AM$61,4,0)*$I127</f>
        <v>1585.0939999999998</v>
      </c>
      <c r="T127" s="140">
        <f>VLOOKUP($H127,'Material impact data'!$E$19:$AM$61,'Material impact data'!T$15,0)/VLOOKUP($H127,'Material impact data'!$E$19:$AM$61,4,0)*$I127</f>
        <v>21895.789999999997</v>
      </c>
      <c r="U127" s="140">
        <f>VLOOKUP($H127,'Material impact data'!$E$19:$AM$61,'Material impact data'!U$15,0)/VLOOKUP($H127,'Material impact data'!$E$19:$AM$61,4,0)*$I127</f>
        <v>4.6343849999999992E-2</v>
      </c>
      <c r="V127" s="140">
        <f>VLOOKUP($H127,'Material impact data'!$E$19:$AM$61,'Material impact data'!V$15,0)/VLOOKUP($H127,'Material impact data'!$E$19:$AM$61,4,0)*$I127</f>
        <v>3.9493019999999994</v>
      </c>
      <c r="W127" s="140">
        <f>VLOOKUP($H127,'Material impact data'!$E$19:$AM$61,'Material impact data'!W$15,0)/VLOOKUP($H127,'Material impact data'!$E$19:$AM$61,4,0)*$I127</f>
        <v>0.47284159999999997</v>
      </c>
      <c r="X127" s="140">
        <f>VLOOKUP($H127,'Material impact data'!$E$19:$AM$61,'Material impact data'!X$15,0)/VLOOKUP($H127,'Material impact data'!$E$19:$AM$61,4,0)*$I127</f>
        <v>0.28074969999999994</v>
      </c>
      <c r="Y127" s="140">
        <f>VLOOKUP($H127,'Material impact data'!$E$19:$AM$61,'Material impact data'!Y$15,0)/VLOOKUP($H127,'Material impact data'!$E$19:$AM$61,4,0)*$I127</f>
        <v>2.646301E-4</v>
      </c>
      <c r="Z127" s="185">
        <f>VLOOKUP($H127,'Material impact data'!$E$19:$AM$61,'Material impact data'!Z$15,0)/VLOOKUP($H127,'Material impact data'!$E$19:$AM$61,4,0)*$I127</f>
        <v>81.40397999999999</v>
      </c>
      <c r="AA127" s="185">
        <f>VLOOKUP($H127,'Material impact data'!$E$19:$AM$61,'Material impact data'!AA$15,0)/VLOOKUP($H127,'Material impact data'!$E$19:$AM$61,4,0)*$I127</f>
        <v>1160.6111999999998</v>
      </c>
      <c r="AB127" s="185">
        <f>VLOOKUP($H127,'Material impact data'!$E$19:$AM$61,'Material impact data'!AB$15,0)/VLOOKUP($H127,'Material impact data'!$E$19:$AM$61,4,0)*$I127</f>
        <v>3.4925799999999997E-6</v>
      </c>
      <c r="AC127" s="185">
        <f>VLOOKUP($H127,'Material impact data'!$E$19:$AM$61,'Material impact data'!AC$15,0)/VLOOKUP($H127,'Material impact data'!$E$19:$AM$61,4,0)*$I127</f>
        <v>0.1356733</v>
      </c>
      <c r="AD127" s="185">
        <f>VLOOKUP($H127,'Material impact data'!$E$19:$AM$61,'Material impact data'!AD$15,0)/VLOOKUP($H127,'Material impact data'!$E$19:$AM$61,4,0)*$I127</f>
        <v>1.5985269999999999E-2</v>
      </c>
      <c r="AE127" s="185">
        <f>VLOOKUP($H127,'Material impact data'!$E$19:$AM$61,'Material impact data'!AE$15,0)/VLOOKUP($H127,'Material impact data'!$E$19:$AM$61,4,0)*$I127</f>
        <v>6.756799E-3</v>
      </c>
      <c r="AF127" s="185">
        <f>VLOOKUP($H127,'Material impact data'!$E$19:$AM$61,'Material impact data'!AF$15,0)/VLOOKUP($H127,'Material impact data'!$E$19:$AM$61,4,0)*$I127</f>
        <v>1.5044959999999998E-5</v>
      </c>
      <c r="AG127" s="186">
        <f>VLOOKUP($H127,'Material impact data'!$E$19:$AM$61,'Material impact data'!AG$15,0)/VLOOKUP($H127,'Material impact data'!$E$19:$AM$61,4,0)*$I127</f>
        <v>149.1063</v>
      </c>
      <c r="AH127" s="186">
        <f>VLOOKUP($H127,'Material impact data'!$E$19:$AM$61,'Material impact data'!AH$15,0)/VLOOKUP($H127,'Material impact data'!$E$19:$AM$61,4,0)*$I127</f>
        <v>1080.0131999999999</v>
      </c>
      <c r="AI127" s="186">
        <f>VLOOKUP($H127,'Material impact data'!$E$19:$AM$61,'Material impact data'!AI$15,0)/VLOOKUP($H127,'Material impact data'!$E$19:$AM$61,4,0)*$I127</f>
        <v>1.3970319999999999E-3</v>
      </c>
      <c r="AJ127" s="186">
        <f>VLOOKUP($H127,'Material impact data'!$E$19:$AM$61,'Material impact data'!AJ$15,0)/VLOOKUP($H127,'Material impact data'!$E$19:$AM$61,4,0)*$I127</f>
        <v>0.34925799999999996</v>
      </c>
      <c r="AK127" s="186">
        <f>VLOOKUP($H127,'Material impact data'!$E$19:$AM$61,'Material impact data'!AK$15,0)/VLOOKUP($H127,'Material impact data'!$E$19:$AM$61,4,0)*$I127</f>
        <v>5.0911069999999996E-2</v>
      </c>
      <c r="AL127" s="186">
        <f>VLOOKUP($H127,'Material impact data'!$E$19:$AM$61,'Material impact data'!AL$15,0)/VLOOKUP($H127,'Material impact data'!$E$19:$AM$61,4,0)*$I127</f>
        <v>2.4313729999999999E-2</v>
      </c>
      <c r="AM127" s="186">
        <f>VLOOKUP($H127,'Material impact data'!$E$19:$AM$61,'Material impact data'!AM$15,0)/VLOOKUP($H127,'Material impact data'!$E$19:$AM$61,4,0)*$I127</f>
        <v>1.114939E-5</v>
      </c>
      <c r="AO127" s="189">
        <f>M127/'Building &amp; Material inputs'!$C$18/'Building &amp; Material inputs'!$C$19</f>
        <v>0.42564958061509778</v>
      </c>
      <c r="AP127" s="189">
        <f>N127/'Building &amp; Material inputs'!$C$18/'Building &amp; Material inputs'!$C$19</f>
        <v>1.9613264989127057</v>
      </c>
      <c r="AQ127" s="141">
        <f>O127/'Building &amp; Material inputs'!$C$18/'Building &amp; Material inputs'!$C$19</f>
        <v>1.3249386455420939E-4</v>
      </c>
      <c r="AR127" s="141">
        <f>P127/'Building &amp; Material inputs'!$C$18/'Building &amp; Material inputs'!$C$19</f>
        <v>9.5875481515998742E-2</v>
      </c>
      <c r="AS127" s="188">
        <f>Q127/'Building &amp; Material inputs'!$C$18/'Building &amp; Material inputs'!$C$19</f>
        <v>2.0969501397949671E-2</v>
      </c>
      <c r="AT127" s="188">
        <f>R127/'Building &amp; Material inputs'!$C$18/'Building &amp; Material inputs'!$C$19</f>
        <v>0.10849891270580926</v>
      </c>
      <c r="AU127" s="189">
        <f>S127/'Building &amp; Material inputs'!$C$18/'Building &amp; Material inputs'!$C$19</f>
        <v>0.1231045355700528</v>
      </c>
      <c r="AV127" s="189">
        <f>T127/'Building &amp; Material inputs'!$C$18/'Building &amp; Material inputs'!$C$19</f>
        <v>1.7005118049083565</v>
      </c>
      <c r="AW127" s="189">
        <f>U127/'Building &amp; Material inputs'!$C$18/'Building &amp; Material inputs'!$C$19</f>
        <v>3.5992427772600182E-6</v>
      </c>
      <c r="AX127" s="189">
        <f>V127/'Building &amp; Material inputs'!$C$18/'Building &amp; Material inputs'!$C$19</f>
        <v>3.067180801491146E-4</v>
      </c>
      <c r="AY127" s="189">
        <f>W127/'Building &amp; Material inputs'!$C$18/'Building &amp; Material inputs'!$C$19</f>
        <v>3.6722708915812363E-5</v>
      </c>
      <c r="AZ127" s="189">
        <f>X127/'Building &amp; Material inputs'!$C$18/'Building &amp; Material inputs'!$C$19</f>
        <v>2.1804108418763587E-5</v>
      </c>
      <c r="BA127" s="189">
        <f>Y127/'Building &amp; Material inputs'!$C$18/'Building &amp; Material inputs'!$C$19</f>
        <v>2.0552197887542719E-8</v>
      </c>
      <c r="BB127" s="141">
        <f>Z127/'Building &amp; Material inputs'!$C$18/'Building &amp; Material inputs'!$C$19</f>
        <v>6.3221481826654232E-3</v>
      </c>
      <c r="BC127" s="141">
        <f>AA127/'Building &amp; Material inputs'!$C$18/'Building &amp; Material inputs'!$C$19</f>
        <v>9.0137558247903066E-2</v>
      </c>
      <c r="BD127" s="141">
        <f>AB127/'Building &amp; Material inputs'!$C$18/'Building &amp; Material inputs'!$C$19</f>
        <v>2.7124728176452312E-10</v>
      </c>
      <c r="BE127" s="141">
        <f>AC127/'Building &amp; Material inputs'!$C$18/'Building &amp; Material inputs'!$C$19</f>
        <v>1.0536913637775709E-5</v>
      </c>
      <c r="BF127" s="141">
        <f>AD127/'Building &amp; Material inputs'!$C$18/'Building &amp; Material inputs'!$C$19</f>
        <v>1.2414779434607021E-6</v>
      </c>
      <c r="BG127" s="141">
        <f>AE127/'Building &amp; Material inputs'!$C$18/'Building &amp; Material inputs'!$C$19</f>
        <v>5.2475916433675058E-7</v>
      </c>
      <c r="BH127" s="141">
        <f>AF127/'Building &amp; Material inputs'!$C$18/'Building &amp; Material inputs'!$C$19</f>
        <v>1.1684498291394843E-9</v>
      </c>
      <c r="BI127" s="188">
        <f>AG127/'Building &amp; Material inputs'!$C$18/'Building &amp; Material inputs'!$C$19</f>
        <v>1.1580172413793104E-2</v>
      </c>
      <c r="BJ127" s="188">
        <f>AH127/'Building &amp; Material inputs'!$C$18/'Building &amp; Material inputs'!$C$19</f>
        <v>8.3878005591798685E-2</v>
      </c>
      <c r="BK127" s="188">
        <f>AI127/'Building &amp; Material inputs'!$C$18/'Building &amp; Material inputs'!$C$19</f>
        <v>1.0849891270580926E-7</v>
      </c>
      <c r="BL127" s="188">
        <f>AJ127/'Building &amp; Material inputs'!$C$18/'Building &amp; Material inputs'!$C$19</f>
        <v>2.7124728176452312E-5</v>
      </c>
      <c r="BM127" s="188">
        <f>AK127/'Building &amp; Material inputs'!$C$18/'Building &amp; Material inputs'!$C$19</f>
        <v>3.9539507611059335E-6</v>
      </c>
      <c r="BN127" s="188">
        <f>AL127/'Building &amp; Material inputs'!$C$18/'Building &amp; Material inputs'!$C$19</f>
        <v>1.888298384591488E-6</v>
      </c>
      <c r="BO127" s="188">
        <f>AM127/'Building &amp; Material inputs'!$C$18/'Building &amp; Material inputs'!$C$19</f>
        <v>8.6590478409443926E-10</v>
      </c>
      <c r="BQ127" s="204" t="s">
        <v>664</v>
      </c>
      <c r="BR127" s="214">
        <f>$AO$108</f>
        <v>4.0006946310057891</v>
      </c>
      <c r="BS127" s="219">
        <f>$AQ$108</f>
        <v>2.7085413173734078E-2</v>
      </c>
      <c r="BT127" s="224">
        <f>$AS$108</f>
        <v>6.2802923977345881E-2</v>
      </c>
    </row>
    <row r="128" spans="2:82" ht="15.75" thickBot="1" x14ac:dyDescent="0.3">
      <c r="B128" s="334"/>
      <c r="C128" s="305"/>
      <c r="D128" s="303"/>
      <c r="E128" s="303"/>
      <c r="F128" s="65" t="s">
        <v>216</v>
      </c>
      <c r="G128" s="66" t="s">
        <v>168</v>
      </c>
      <c r="H128" s="66" t="str">
        <f>'Material quantities'!G128</f>
        <v>GRAV</v>
      </c>
      <c r="I128" s="38">
        <f>'Material quantities'!O128</f>
        <v>0</v>
      </c>
      <c r="J128" s="68" t="s">
        <v>15</v>
      </c>
      <c r="K128" s="2"/>
      <c r="L128" s="144">
        <f>VLOOKUP($H128,'Material impact data'!$E$19:$AM$61,6,0)/VLOOKUP($H128,'Material impact data'!$E$19:$AM$61,4,0)*$I128</f>
        <v>0</v>
      </c>
      <c r="M128" s="140">
        <f>VLOOKUP($H128,'Material impact data'!$E$19:$AM$61,'Material impact data'!M$15,0)/VLOOKUP($H128,'Material impact data'!$E$19:$AM$61,4,0)*$I128</f>
        <v>0</v>
      </c>
      <c r="N128" s="140">
        <f>VLOOKUP($H128,'Material impact data'!$E$19:$AM$61,'Material impact data'!N$15,0)/VLOOKUP($H128,'Material impact data'!$E$19:$AM$61,4,0)*$I128</f>
        <v>0</v>
      </c>
      <c r="O128" s="185">
        <f>VLOOKUP($H128,'Material impact data'!$E$19:$AM$61,'Material impact data'!O$15,0)/VLOOKUP($H128,'Material impact data'!$E$19:$AM$61,4,0)*$I128</f>
        <v>0</v>
      </c>
      <c r="P128" s="185">
        <f>VLOOKUP($H128,'Material impact data'!$E$19:$AM$61,'Material impact data'!P$15,0)/VLOOKUP($H128,'Material impact data'!$E$19:$AM$61,4,0)*$I128</f>
        <v>0</v>
      </c>
      <c r="Q128" s="186">
        <f>VLOOKUP($H128,'Material impact data'!$E$19:$AM$61,'Material impact data'!Q$15,0)/VLOOKUP($H128,'Material impact data'!$E$19:$AM$61,4,0)*$I128</f>
        <v>0</v>
      </c>
      <c r="R128" s="186">
        <f>VLOOKUP($H128,'Material impact data'!$E$19:$AM$61,'Material impact data'!R$15,0)/VLOOKUP($H128,'Material impact data'!$E$19:$AM$61,4,0)*$I128</f>
        <v>0</v>
      </c>
      <c r="S128" s="140">
        <f>VLOOKUP($H128,'Material impact data'!$E$19:$AM$61,'Material impact data'!S$15,0)/VLOOKUP($H128,'Material impact data'!$E$19:$AM$61,4,0)*$I128</f>
        <v>0</v>
      </c>
      <c r="T128" s="140">
        <f>VLOOKUP($H128,'Material impact data'!$E$19:$AM$61,'Material impact data'!T$15,0)/VLOOKUP($H128,'Material impact data'!$E$19:$AM$61,4,0)*$I128</f>
        <v>0</v>
      </c>
      <c r="U128" s="140">
        <f>VLOOKUP($H128,'Material impact data'!$E$19:$AM$61,'Material impact data'!U$15,0)/VLOOKUP($H128,'Material impact data'!$E$19:$AM$61,4,0)*$I128</f>
        <v>0</v>
      </c>
      <c r="V128" s="140">
        <f>VLOOKUP($H128,'Material impact data'!$E$19:$AM$61,'Material impact data'!V$15,0)/VLOOKUP($H128,'Material impact data'!$E$19:$AM$61,4,0)*$I128</f>
        <v>0</v>
      </c>
      <c r="W128" s="140">
        <f>VLOOKUP($H128,'Material impact data'!$E$19:$AM$61,'Material impact data'!W$15,0)/VLOOKUP($H128,'Material impact data'!$E$19:$AM$61,4,0)*$I128</f>
        <v>0</v>
      </c>
      <c r="X128" s="140">
        <f>VLOOKUP($H128,'Material impact data'!$E$19:$AM$61,'Material impact data'!X$15,0)/VLOOKUP($H128,'Material impact data'!$E$19:$AM$61,4,0)*$I128</f>
        <v>0</v>
      </c>
      <c r="Y128" s="140">
        <f>VLOOKUP($H128,'Material impact data'!$E$19:$AM$61,'Material impact data'!Y$15,0)/VLOOKUP($H128,'Material impact data'!$E$19:$AM$61,4,0)*$I128</f>
        <v>0</v>
      </c>
      <c r="Z128" s="185">
        <f>VLOOKUP($H128,'Material impact data'!$E$19:$AM$61,'Material impact data'!Z$15,0)/VLOOKUP($H128,'Material impact data'!$E$19:$AM$61,4,0)*$I128</f>
        <v>0</v>
      </c>
      <c r="AA128" s="185">
        <f>VLOOKUP($H128,'Material impact data'!$E$19:$AM$61,'Material impact data'!AA$15,0)/VLOOKUP($H128,'Material impact data'!$E$19:$AM$61,4,0)*$I128</f>
        <v>0</v>
      </c>
      <c r="AB128" s="185">
        <f>VLOOKUP($H128,'Material impact data'!$E$19:$AM$61,'Material impact data'!AB$15,0)/VLOOKUP($H128,'Material impact data'!$E$19:$AM$61,4,0)*$I128</f>
        <v>0</v>
      </c>
      <c r="AC128" s="185">
        <f>VLOOKUP($H128,'Material impact data'!$E$19:$AM$61,'Material impact data'!AC$15,0)/VLOOKUP($H128,'Material impact data'!$E$19:$AM$61,4,0)*$I128</f>
        <v>0</v>
      </c>
      <c r="AD128" s="185">
        <f>VLOOKUP($H128,'Material impact data'!$E$19:$AM$61,'Material impact data'!AD$15,0)/VLOOKUP($H128,'Material impact data'!$E$19:$AM$61,4,0)*$I128</f>
        <v>0</v>
      </c>
      <c r="AE128" s="185">
        <f>VLOOKUP($H128,'Material impact data'!$E$19:$AM$61,'Material impact data'!AE$15,0)/VLOOKUP($H128,'Material impact data'!$E$19:$AM$61,4,0)*$I128</f>
        <v>0</v>
      </c>
      <c r="AF128" s="185">
        <f>VLOOKUP($H128,'Material impact data'!$E$19:$AM$61,'Material impact data'!AF$15,0)/VLOOKUP($H128,'Material impact data'!$E$19:$AM$61,4,0)*$I128</f>
        <v>0</v>
      </c>
      <c r="AG128" s="186">
        <f>VLOOKUP($H128,'Material impact data'!$E$19:$AM$61,'Material impact data'!AG$15,0)/VLOOKUP($H128,'Material impact data'!$E$19:$AM$61,4,0)*$I128</f>
        <v>0</v>
      </c>
      <c r="AH128" s="186">
        <f>VLOOKUP($H128,'Material impact data'!$E$19:$AM$61,'Material impact data'!AH$15,0)/VLOOKUP($H128,'Material impact data'!$E$19:$AM$61,4,0)*$I128</f>
        <v>0</v>
      </c>
      <c r="AI128" s="186">
        <f>VLOOKUP($H128,'Material impact data'!$E$19:$AM$61,'Material impact data'!AI$15,0)/VLOOKUP($H128,'Material impact data'!$E$19:$AM$61,4,0)*$I128</f>
        <v>0</v>
      </c>
      <c r="AJ128" s="186">
        <f>VLOOKUP($H128,'Material impact data'!$E$19:$AM$61,'Material impact data'!AJ$15,0)/VLOOKUP($H128,'Material impact data'!$E$19:$AM$61,4,0)*$I128</f>
        <v>0</v>
      </c>
      <c r="AK128" s="186">
        <f>VLOOKUP($H128,'Material impact data'!$E$19:$AM$61,'Material impact data'!AK$15,0)/VLOOKUP($H128,'Material impact data'!$E$19:$AM$61,4,0)*$I128</f>
        <v>0</v>
      </c>
      <c r="AL128" s="186">
        <f>VLOOKUP($H128,'Material impact data'!$E$19:$AM$61,'Material impact data'!AL$15,0)/VLOOKUP($H128,'Material impact data'!$E$19:$AM$61,4,0)*$I128</f>
        <v>0</v>
      </c>
      <c r="AM128" s="186">
        <f>VLOOKUP($H128,'Material impact data'!$E$19:$AM$61,'Material impact data'!AM$15,0)/VLOOKUP($H128,'Material impact data'!$E$19:$AM$61,4,0)*$I128</f>
        <v>0</v>
      </c>
      <c r="AO128" s="189">
        <f>M128/'Building &amp; Material inputs'!$C$18/'Building &amp; Material inputs'!$C$19</f>
        <v>0</v>
      </c>
      <c r="AP128" s="189">
        <f>N128/'Building &amp; Material inputs'!$C$18/'Building &amp; Material inputs'!$C$19</f>
        <v>0</v>
      </c>
      <c r="AQ128" s="141">
        <f>O128/'Building &amp; Material inputs'!$C$18/'Building &amp; Material inputs'!$C$19</f>
        <v>0</v>
      </c>
      <c r="AR128" s="141">
        <f>P128/'Building &amp; Material inputs'!$C$18/'Building &amp; Material inputs'!$C$19</f>
        <v>0</v>
      </c>
      <c r="AS128" s="188">
        <f>Q128/'Building &amp; Material inputs'!$C$18/'Building &amp; Material inputs'!$C$19</f>
        <v>0</v>
      </c>
      <c r="AT128" s="188">
        <f>R128/'Building &amp; Material inputs'!$C$18/'Building &amp; Material inputs'!$C$19</f>
        <v>0</v>
      </c>
      <c r="AU128" s="189">
        <f>S128/'Building &amp; Material inputs'!$C$18/'Building &amp; Material inputs'!$C$19</f>
        <v>0</v>
      </c>
      <c r="AV128" s="189">
        <f>T128/'Building &amp; Material inputs'!$C$18/'Building &amp; Material inputs'!$C$19</f>
        <v>0</v>
      </c>
      <c r="AW128" s="189">
        <f>U128/'Building &amp; Material inputs'!$C$18/'Building &amp; Material inputs'!$C$19</f>
        <v>0</v>
      </c>
      <c r="AX128" s="189">
        <f>V128/'Building &amp; Material inputs'!$C$18/'Building &amp; Material inputs'!$C$19</f>
        <v>0</v>
      </c>
      <c r="AY128" s="189">
        <f>W128/'Building &amp; Material inputs'!$C$18/'Building &amp; Material inputs'!$C$19</f>
        <v>0</v>
      </c>
      <c r="AZ128" s="189">
        <f>X128/'Building &amp; Material inputs'!$C$18/'Building &amp; Material inputs'!$C$19</f>
        <v>0</v>
      </c>
      <c r="BA128" s="189">
        <f>Y128/'Building &amp; Material inputs'!$C$18/'Building &amp; Material inputs'!$C$19</f>
        <v>0</v>
      </c>
      <c r="BB128" s="141">
        <f>Z128/'Building &amp; Material inputs'!$C$18/'Building &amp; Material inputs'!$C$19</f>
        <v>0</v>
      </c>
      <c r="BC128" s="141">
        <f>AA128/'Building &amp; Material inputs'!$C$18/'Building &amp; Material inputs'!$C$19</f>
        <v>0</v>
      </c>
      <c r="BD128" s="141">
        <f>AB128/'Building &amp; Material inputs'!$C$18/'Building &amp; Material inputs'!$C$19</f>
        <v>0</v>
      </c>
      <c r="BE128" s="141">
        <f>AC128/'Building &amp; Material inputs'!$C$18/'Building &amp; Material inputs'!$C$19</f>
        <v>0</v>
      </c>
      <c r="BF128" s="141">
        <f>AD128/'Building &amp; Material inputs'!$C$18/'Building &amp; Material inputs'!$C$19</f>
        <v>0</v>
      </c>
      <c r="BG128" s="141">
        <f>AE128/'Building &amp; Material inputs'!$C$18/'Building &amp; Material inputs'!$C$19</f>
        <v>0</v>
      </c>
      <c r="BH128" s="141">
        <f>AF128/'Building &amp; Material inputs'!$C$18/'Building &amp; Material inputs'!$C$19</f>
        <v>0</v>
      </c>
      <c r="BI128" s="188">
        <f>AG128/'Building &amp; Material inputs'!$C$18/'Building &amp; Material inputs'!$C$19</f>
        <v>0</v>
      </c>
      <c r="BJ128" s="188">
        <f>AH128/'Building &amp; Material inputs'!$C$18/'Building &amp; Material inputs'!$C$19</f>
        <v>0</v>
      </c>
      <c r="BK128" s="188">
        <f>AI128/'Building &amp; Material inputs'!$C$18/'Building &amp; Material inputs'!$C$19</f>
        <v>0</v>
      </c>
      <c r="BL128" s="188">
        <f>AJ128/'Building &amp; Material inputs'!$C$18/'Building &amp; Material inputs'!$C$19</f>
        <v>0</v>
      </c>
      <c r="BM128" s="188">
        <f>AK128/'Building &amp; Material inputs'!$C$18/'Building &amp; Material inputs'!$C$19</f>
        <v>0</v>
      </c>
      <c r="BN128" s="188">
        <f>AL128/'Building &amp; Material inputs'!$C$18/'Building &amp; Material inputs'!$C$19</f>
        <v>0</v>
      </c>
      <c r="BO128" s="188">
        <f>AM128/'Building &amp; Material inputs'!$C$18/'Building &amp; Material inputs'!$C$19</f>
        <v>0</v>
      </c>
      <c r="BQ128" s="204" t="s">
        <v>665</v>
      </c>
      <c r="BR128" s="214">
        <f>$AO$126</f>
        <v>4.3255175425256658</v>
      </c>
      <c r="BS128" s="219">
        <f>$AQ$126</f>
        <v>4.3821324502951231E-2</v>
      </c>
      <c r="BT128" s="224">
        <f>$AS$126</f>
        <v>5.0546429629903557E-2</v>
      </c>
      <c r="BV128" s="354" t="s">
        <v>588</v>
      </c>
      <c r="BW128" s="300" t="s">
        <v>659</v>
      </c>
      <c r="BX128" s="335"/>
      <c r="BY128" s="301"/>
      <c r="CA128" s="354" t="s">
        <v>594</v>
      </c>
      <c r="CB128" s="300" t="s">
        <v>659</v>
      </c>
      <c r="CC128" s="335"/>
      <c r="CD128" s="301"/>
    </row>
    <row r="129" spans="2:82" ht="15.75" thickBot="1" x14ac:dyDescent="0.3">
      <c r="B129" s="334"/>
      <c r="C129" s="305"/>
      <c r="D129" s="303"/>
      <c r="E129" s="80" t="s">
        <v>170</v>
      </c>
      <c r="F129" s="80" t="s">
        <v>217</v>
      </c>
      <c r="G129" s="81" t="s">
        <v>55</v>
      </c>
      <c r="H129" s="66" t="str">
        <f>'Material quantities'!G129</f>
        <v>WP</v>
      </c>
      <c r="I129" s="38">
        <f>'Material quantities'!O129</f>
        <v>134.32999999999998</v>
      </c>
      <c r="J129" s="68" t="s">
        <v>332</v>
      </c>
      <c r="K129" s="2"/>
      <c r="L129" s="144">
        <f>VLOOKUP($H129,'Material impact data'!$E$19:$AM$61,6,0)/VLOOKUP($H129,'Material impact data'!$E$19:$AM$61,4,0)*$I129</f>
        <v>564.18599999999992</v>
      </c>
      <c r="M129" s="140">
        <f>VLOOKUP($H129,'Material impact data'!$E$19:$AM$61,'Material impact data'!M$15,0)/VLOOKUP($H129,'Material impact data'!$E$19:$AM$61,4,0)*$I129</f>
        <v>2417.9399999999996</v>
      </c>
      <c r="N129" s="140">
        <f>VLOOKUP($H129,'Material impact data'!$E$19:$AM$61,'Material impact data'!N$15,0)/VLOOKUP($H129,'Material impact data'!$E$19:$AM$61,4,0)*$I129</f>
        <v>37746.729999999996</v>
      </c>
      <c r="O129" s="185">
        <f>VLOOKUP($H129,'Material impact data'!$E$19:$AM$61,'Material impact data'!O$15,0)/VLOOKUP($H129,'Material impact data'!$E$19:$AM$61,4,0)*$I129</f>
        <v>12.801648999999998</v>
      </c>
      <c r="P129" s="185">
        <f>VLOOKUP($H129,'Material impact data'!$E$19:$AM$61,'Material impact data'!P$15,0)/VLOOKUP($H129,'Material impact data'!$E$19:$AM$61,4,0)*$I129</f>
        <v>185.37539999999996</v>
      </c>
      <c r="Q129" s="186">
        <f>VLOOKUP($H129,'Material impact data'!$E$19:$AM$61,'Material impact data'!Q$15,0)/VLOOKUP($H129,'Material impact data'!$E$19:$AM$61,4,0)*$I129</f>
        <v>347.91469999999993</v>
      </c>
      <c r="R129" s="186">
        <f>VLOOKUP($H129,'Material impact data'!$E$19:$AM$61,'Material impact data'!R$15,0)/VLOOKUP($H129,'Material impact data'!$E$19:$AM$61,4,0)*$I129</f>
        <v>6797.097999999999</v>
      </c>
      <c r="S129" s="140">
        <f>VLOOKUP($H129,'Material impact data'!$E$19:$AM$61,'Material impact data'!S$15,0)/VLOOKUP($H129,'Material impact data'!$E$19:$AM$61,4,0)*$I129</f>
        <v>467.46839999999992</v>
      </c>
      <c r="T129" s="140">
        <f>VLOOKUP($H129,'Material impact data'!$E$19:$AM$61,'Material impact data'!T$15,0)/VLOOKUP($H129,'Material impact data'!$E$19:$AM$61,4,0)*$I129</f>
        <v>0</v>
      </c>
      <c r="U129" s="140">
        <f>VLOOKUP($H129,'Material impact data'!$E$19:$AM$61,'Material impact data'!U$15,0)/VLOOKUP($H129,'Material impact data'!$E$19:$AM$61,4,0)*$I129</f>
        <v>0</v>
      </c>
      <c r="V129" s="140">
        <f>VLOOKUP($H129,'Material impact data'!$E$19:$AM$61,'Material impact data'!V$15,0)/VLOOKUP($H129,'Material impact data'!$E$19:$AM$61,4,0)*$I129</f>
        <v>0.92822029999999989</v>
      </c>
      <c r="W129" s="140">
        <f>VLOOKUP($H129,'Material impact data'!$E$19:$AM$61,'Material impact data'!W$15,0)/VLOOKUP($H129,'Material impact data'!$E$19:$AM$61,4,0)*$I129</f>
        <v>2.5119709999999996E-2</v>
      </c>
      <c r="X129" s="140">
        <f>VLOOKUP($H129,'Material impact data'!$E$19:$AM$61,'Material impact data'!X$15,0)/VLOOKUP($H129,'Material impact data'!$E$19:$AM$61,4,0)*$I129</f>
        <v>0.94299659999999996</v>
      </c>
      <c r="Y129" s="140">
        <f>VLOOKUP($H129,'Material impact data'!$E$19:$AM$61,'Material impact data'!Y$15,0)/VLOOKUP($H129,'Material impact data'!$E$19:$AM$61,4,0)*$I129</f>
        <v>5.561261999999999E-6</v>
      </c>
      <c r="Z129" s="185">
        <f>VLOOKUP($H129,'Material impact data'!$E$19:$AM$61,'Material impact data'!Z$15,0)/VLOOKUP($H129,'Material impact data'!$E$19:$AM$61,4,0)*$I129</f>
        <v>13.970319999999997</v>
      </c>
      <c r="AA129" s="185">
        <f>VLOOKUP($H129,'Material impact data'!$E$19:$AM$61,'Material impact data'!AA$15,0)/VLOOKUP($H129,'Material impact data'!$E$19:$AM$61,4,0)*$I129</f>
        <v>0</v>
      </c>
      <c r="AB129" s="185">
        <f>VLOOKUP($H129,'Material impact data'!$E$19:$AM$61,'Material impact data'!AB$15,0)/VLOOKUP($H129,'Material impact data'!$E$19:$AM$61,4,0)*$I129</f>
        <v>0</v>
      </c>
      <c r="AC129" s="185">
        <f>VLOOKUP($H129,'Material impact data'!$E$19:$AM$61,'Material impact data'!AC$15,0)/VLOOKUP($H129,'Material impact data'!$E$19:$AM$61,4,0)*$I129</f>
        <v>1.5716609999999999E-2</v>
      </c>
      <c r="AD129" s="185">
        <f>VLOOKUP($H129,'Material impact data'!$E$19:$AM$61,'Material impact data'!AD$15,0)/VLOOKUP($H129,'Material impact data'!$E$19:$AM$61,4,0)*$I129</f>
        <v>5.0239419999999993E-5</v>
      </c>
      <c r="AE129" s="185">
        <f>VLOOKUP($H129,'Material impact data'!$E$19:$AM$61,'Material impact data'!AE$15,0)/VLOOKUP($H129,'Material impact data'!$E$19:$AM$61,4,0)*$I129</f>
        <v>1.3567329999999999E-2</v>
      </c>
      <c r="AF129" s="185">
        <f>VLOOKUP($H129,'Material impact data'!$E$19:$AM$61,'Material impact data'!AF$15,0)/VLOOKUP($H129,'Material impact data'!$E$19:$AM$61,4,0)*$I129</f>
        <v>1.3835989999999997E-12</v>
      </c>
      <c r="AG129" s="186">
        <f>VLOOKUP($H129,'Material impact data'!$E$19:$AM$61,'Material impact data'!AG$15,0)/VLOOKUP($H129,'Material impact data'!$E$19:$AM$61,4,0)*$I129</f>
        <v>255.22699999999995</v>
      </c>
      <c r="AH129" s="186">
        <f>VLOOKUP($H129,'Material impact data'!$E$19:$AM$61,'Material impact data'!AH$15,0)/VLOOKUP($H129,'Material impact data'!$E$19:$AM$61,4,0)*$I129</f>
        <v>0</v>
      </c>
      <c r="AI129" s="186">
        <f>VLOOKUP($H129,'Material impact data'!$E$19:$AM$61,'Material impact data'!AI$15,0)/VLOOKUP($H129,'Material impact data'!$E$19:$AM$61,4,0)*$I129</f>
        <v>0</v>
      </c>
      <c r="AJ129" s="186">
        <f>VLOOKUP($H129,'Material impact data'!$E$19:$AM$61,'Material impact data'!AJ$15,0)/VLOOKUP($H129,'Material impact data'!$E$19:$AM$61,4,0)*$I129</f>
        <v>0.54537979999999997</v>
      </c>
      <c r="AK129" s="186">
        <f>VLOOKUP($H129,'Material impact data'!$E$19:$AM$61,'Material impact data'!AK$15,0)/VLOOKUP($H129,'Material impact data'!$E$19:$AM$61,4,0)*$I129</f>
        <v>7.7508409999999988E-3</v>
      </c>
      <c r="AL129" s="186">
        <f>VLOOKUP($H129,'Material impact data'!$E$19:$AM$61,'Material impact data'!AL$15,0)/VLOOKUP($H129,'Material impact data'!$E$19:$AM$61,4,0)*$I129</f>
        <v>0.50776739999999998</v>
      </c>
      <c r="AM129" s="186">
        <f>VLOOKUP($H129,'Material impact data'!$E$19:$AM$61,'Material impact data'!AM$15,0)/VLOOKUP($H129,'Material impact data'!$E$19:$AM$61,4,0)*$I129</f>
        <v>2.1224139999999998E-5</v>
      </c>
      <c r="AO129" s="189">
        <f>M129/'Building &amp; Material inputs'!$C$18/'Building &amp; Material inputs'!$C$19</f>
        <v>0.18778657968313139</v>
      </c>
      <c r="AP129" s="189">
        <f>N129/'Building &amp; Material inputs'!$C$18/'Building &amp; Material inputs'!$C$19</f>
        <v>2.9315571606088842</v>
      </c>
      <c r="AQ129" s="141">
        <f>O129/'Building &amp; Material inputs'!$C$18/'Building &amp; Material inputs'!$C$19</f>
        <v>9.9422561354457891E-4</v>
      </c>
      <c r="AR129" s="141">
        <f>P129/'Building &amp; Material inputs'!$C$18/'Building &amp; Material inputs'!$C$19</f>
        <v>1.4396971109040074E-2</v>
      </c>
      <c r="AS129" s="188">
        <f>Q129/'Building &amp; Material inputs'!$C$18/'Building &amp; Material inputs'!$C$19</f>
        <v>2.7020402298850568E-2</v>
      </c>
      <c r="AT129" s="188">
        <f>R129/'Building &amp; Material inputs'!$C$18/'Building &amp; Material inputs'!$C$19</f>
        <v>0.52788894066480263</v>
      </c>
      <c r="AU129" s="189">
        <f>S129/'Building &amp; Material inputs'!$C$18/'Building &amp; Material inputs'!$C$19</f>
        <v>3.6305405405405403E-2</v>
      </c>
      <c r="AV129" s="189">
        <f>T129/'Building &amp; Material inputs'!$C$18/'Building &amp; Material inputs'!$C$19</f>
        <v>0</v>
      </c>
      <c r="AW129" s="189">
        <f>U129/'Building &amp; Material inputs'!$C$18/'Building &amp; Material inputs'!$C$19</f>
        <v>0</v>
      </c>
      <c r="AX129" s="189">
        <f>V129/'Building &amp; Material inputs'!$C$18/'Building &amp; Material inputs'!$C$19</f>
        <v>7.2089181422802109E-5</v>
      </c>
      <c r="AY129" s="189">
        <f>W129/'Building &amp; Material inputs'!$C$18/'Building &amp; Material inputs'!$C$19</f>
        <v>1.9508939111525319E-6</v>
      </c>
      <c r="AZ129" s="189">
        <f>X129/'Building &amp; Material inputs'!$C$18/'Building &amp; Material inputs'!$C$19</f>
        <v>7.3236766076421254E-5</v>
      </c>
      <c r="BA129" s="189">
        <f>Y129/'Building &amp; Material inputs'!$C$18/'Building &amp; Material inputs'!$C$19</f>
        <v>4.3190913327120222E-10</v>
      </c>
      <c r="BB129" s="141">
        <f>Z129/'Building &amp; Material inputs'!$C$18/'Building &amp; Material inputs'!$C$19</f>
        <v>1.0849891270580925E-3</v>
      </c>
      <c r="BC129" s="141">
        <f>AA129/'Building &amp; Material inputs'!$C$18/'Building &amp; Material inputs'!$C$19</f>
        <v>0</v>
      </c>
      <c r="BD129" s="141">
        <f>AB129/'Building &amp; Material inputs'!$C$18/'Building &amp; Material inputs'!$C$19</f>
        <v>0</v>
      </c>
      <c r="BE129" s="141">
        <f>AC129/'Building &amp; Material inputs'!$C$18/'Building &amp; Material inputs'!$C$19</f>
        <v>1.2206127679403542E-6</v>
      </c>
      <c r="BF129" s="141">
        <f>AD129/'Building &amp; Material inputs'!$C$18/'Building &amp; Material inputs'!$C$19</f>
        <v>3.9017878223050635E-9</v>
      </c>
      <c r="BG129" s="141">
        <f>AE129/'Building &amp; Material inputs'!$C$18/'Building &amp; Material inputs'!$C$19</f>
        <v>1.0536913637775706E-6</v>
      </c>
      <c r="BH129" s="141">
        <f>AF129/'Building &amp; Material inputs'!$C$18/'Building &amp; Material inputs'!$C$19</f>
        <v>1.0745565392979186E-16</v>
      </c>
      <c r="BI129" s="188">
        <f>AG129/'Building &amp; Material inputs'!$C$18/'Building &amp; Material inputs'!$C$19</f>
        <v>1.9821916744330533E-2</v>
      </c>
      <c r="BJ129" s="188">
        <f>AH129/'Building &amp; Material inputs'!$C$18/'Building &amp; Material inputs'!$C$19</f>
        <v>0</v>
      </c>
      <c r="BK129" s="188">
        <f>AI129/'Building &amp; Material inputs'!$C$18/'Building &amp; Material inputs'!$C$19</f>
        <v>0</v>
      </c>
      <c r="BL129" s="188">
        <f>AJ129/'Building &amp; Material inputs'!$C$18/'Building &amp; Material inputs'!$C$19</f>
        <v>4.2356306306306307E-5</v>
      </c>
      <c r="BM129" s="188">
        <f>AK129/'Building &amp; Material inputs'!$C$18/'Building &amp; Material inputs'!$C$19</f>
        <v>6.0196031376203779E-7</v>
      </c>
      <c r="BN129" s="188">
        <f>AL129/'Building &amp; Material inputs'!$C$18/'Building &amp; Material inputs'!$C$19</f>
        <v>3.9435181733457599E-5</v>
      </c>
      <c r="BO129" s="188">
        <f>AM129/'Building &amp; Material inputs'!$C$18/'Building &amp; Material inputs'!$C$19</f>
        <v>1.6483488661074867E-9</v>
      </c>
      <c r="BQ129" s="47" t="s">
        <v>666</v>
      </c>
      <c r="BR129" s="215">
        <f>$AO$140</f>
        <v>1.9091144627028351</v>
      </c>
      <c r="BS129" s="220">
        <f>$AQ$140</f>
        <v>5.858779951177194E-3</v>
      </c>
      <c r="BT129" s="225">
        <f>$AS$140</f>
        <v>7.7262998942188965E-2</v>
      </c>
      <c r="BV129" s="355"/>
      <c r="BW129" s="213" t="s">
        <v>39</v>
      </c>
      <c r="BX129" s="218" t="s">
        <v>660</v>
      </c>
      <c r="BY129" s="223" t="s">
        <v>661</v>
      </c>
      <c r="CA129" s="355"/>
      <c r="CB129" s="213" t="s">
        <v>39</v>
      </c>
      <c r="CC129" s="218" t="s">
        <v>660</v>
      </c>
      <c r="CD129" s="223" t="s">
        <v>661</v>
      </c>
    </row>
    <row r="130" spans="2:82" ht="15.75" thickBot="1" x14ac:dyDescent="0.3">
      <c r="B130" s="334"/>
      <c r="C130" s="305"/>
      <c r="D130" s="303"/>
      <c r="E130" s="80" t="s">
        <v>171</v>
      </c>
      <c r="F130" s="80" t="s">
        <v>225</v>
      </c>
      <c r="G130" s="66" t="s">
        <v>57</v>
      </c>
      <c r="H130" s="66" t="str">
        <f>'Material quantities'!G130</f>
        <v>MWOOL</v>
      </c>
      <c r="I130" s="38">
        <f>'Material quantities'!O130</f>
        <v>9.4031000000000002</v>
      </c>
      <c r="J130" s="68" t="s">
        <v>14</v>
      </c>
      <c r="K130" s="2"/>
      <c r="L130" s="144">
        <f>VLOOKUP($H130,'Material impact data'!$E$19:$AM$61,6,0)/VLOOKUP($H130,'Material impact data'!$E$19:$AM$61,4,0)*$I130</f>
        <v>907.39915000000008</v>
      </c>
      <c r="M130" s="140">
        <f>VLOOKUP($H130,'Material impact data'!$E$19:$AM$61,'Material impact data'!M$15,0)/VLOOKUP($H130,'Material impact data'!$E$19:$AM$61,4,0)*$I130</f>
        <v>4127.0205900000001</v>
      </c>
      <c r="N130" s="140">
        <f>VLOOKUP($H130,'Material impact data'!$E$19:$AM$61,'Material impact data'!N$15,0)/VLOOKUP($H130,'Material impact data'!$E$19:$AM$61,4,0)*$I130</f>
        <v>19737.106899999999</v>
      </c>
      <c r="O130" s="185">
        <f>VLOOKUP($H130,'Material impact data'!$E$19:$AM$61,'Material impact data'!O$15,0)/VLOOKUP($H130,'Material impact data'!$E$19:$AM$61,4,0)*$I130</f>
        <v>23.855664699999998</v>
      </c>
      <c r="P130" s="185">
        <f>VLOOKUP($H130,'Material impact data'!$E$19:$AM$61,'Material impact data'!P$15,0)/VLOOKUP($H130,'Material impact data'!$E$19:$AM$61,4,0)*$I130</f>
        <v>414.20655499999998</v>
      </c>
      <c r="Q130" s="186">
        <f>VLOOKUP($H130,'Material impact data'!$E$19:$AM$61,'Material impact data'!Q$15,0)/VLOOKUP($H130,'Material impact data'!$E$19:$AM$61,4,0)*$I130</f>
        <v>89.752589499999999</v>
      </c>
      <c r="R130" s="186">
        <f>VLOOKUP($H130,'Material impact data'!$E$19:$AM$61,'Material impact data'!R$15,0)/VLOOKUP($H130,'Material impact data'!$E$19:$AM$61,4,0)*$I130</f>
        <v>441.56957600000004</v>
      </c>
      <c r="S130" s="140">
        <f>VLOOKUP($H130,'Material impact data'!$E$19:$AM$61,'Material impact data'!S$15,0)/VLOOKUP($H130,'Material impact data'!$E$19:$AM$61,4,0)*$I130</f>
        <v>1630.4975400000001</v>
      </c>
      <c r="T130" s="140">
        <f>VLOOKUP($H130,'Material impact data'!$E$19:$AM$61,'Material impact data'!T$15,0)/VLOOKUP($H130,'Material impact data'!$E$19:$AM$61,4,0)*$I130</f>
        <v>18627.541100000002</v>
      </c>
      <c r="U130" s="140">
        <f>VLOOKUP($H130,'Material impact data'!$E$19:$AM$61,'Material impact data'!U$15,0)/VLOOKUP($H130,'Material impact data'!$E$19:$AM$61,4,0)*$I130</f>
        <v>3.5985663699999998E-4</v>
      </c>
      <c r="V130" s="140">
        <f>VLOOKUP($H130,'Material impact data'!$E$19:$AM$61,'Material impact data'!V$15,0)/VLOOKUP($H130,'Material impact data'!$E$19:$AM$61,4,0)*$I130</f>
        <v>9.5441465000000001</v>
      </c>
      <c r="W130" s="140">
        <f>VLOOKUP($H130,'Material impact data'!$E$19:$AM$61,'Material impact data'!W$15,0)/VLOOKUP($H130,'Material impact data'!$E$19:$AM$61,4,0)*$I130</f>
        <v>1.3079712100000001</v>
      </c>
      <c r="X130" s="140">
        <f>VLOOKUP($H130,'Material impact data'!$E$19:$AM$61,'Material impact data'!X$15,0)/VLOOKUP($H130,'Material impact data'!$E$19:$AM$61,4,0)*$I130</f>
        <v>0.56380987599999999</v>
      </c>
      <c r="Y130" s="140">
        <f>VLOOKUP($H130,'Material impact data'!$E$19:$AM$61,'Material impact data'!Y$15,0)/VLOOKUP($H130,'Material impact data'!$E$19:$AM$61,4,0)*$I130</f>
        <v>5.22624298E-9</v>
      </c>
      <c r="Z130" s="185">
        <f>VLOOKUP($H130,'Material impact data'!$E$19:$AM$61,'Material impact data'!Z$15,0)/VLOOKUP($H130,'Material impact data'!$E$19:$AM$61,4,0)*$I130</f>
        <v>30.466044000000004</v>
      </c>
      <c r="AA130" s="185">
        <f>VLOOKUP($H130,'Material impact data'!$E$19:$AM$61,'Material impact data'!AA$15,0)/VLOOKUP($H130,'Material impact data'!$E$19:$AM$61,4,0)*$I130</f>
        <v>409.97516000000002</v>
      </c>
      <c r="AB130" s="185">
        <f>VLOOKUP($H130,'Material impact data'!$E$19:$AM$61,'Material impact data'!AB$15,0)/VLOOKUP($H130,'Material impact data'!$E$19:$AM$61,4,0)*$I130</f>
        <v>2.50498584E-6</v>
      </c>
      <c r="AC130" s="185">
        <f>VLOOKUP($H130,'Material impact data'!$E$19:$AM$61,'Material impact data'!AC$15,0)/VLOOKUP($H130,'Material impact data'!$E$19:$AM$61,4,0)*$I130</f>
        <v>4.5059655200000007E-2</v>
      </c>
      <c r="AD130" s="185">
        <f>VLOOKUP($H130,'Material impact data'!$E$19:$AM$61,'Material impact data'!AD$15,0)/VLOOKUP($H130,'Material impact data'!$E$19:$AM$61,4,0)*$I130</f>
        <v>9.8168364000000008E-3</v>
      </c>
      <c r="AE130" s="185">
        <f>VLOOKUP($H130,'Material impact data'!$E$19:$AM$61,'Material impact data'!AE$15,0)/VLOOKUP($H130,'Material impact data'!$E$19:$AM$61,4,0)*$I130</f>
        <v>-1.0108332500000001E-2</v>
      </c>
      <c r="AF130" s="185">
        <f>VLOOKUP($H130,'Material impact data'!$E$19:$AM$61,'Material impact data'!AF$15,0)/VLOOKUP($H130,'Material impact data'!$E$19:$AM$61,4,0)*$I130</f>
        <v>7.5647939499999997E-15</v>
      </c>
      <c r="AG130" s="186">
        <f>VLOOKUP($H130,'Material impact data'!$E$19:$AM$61,'Material impact data'!AG$15,0)/VLOOKUP($H130,'Material impact data'!$E$19:$AM$61,4,0)*$I130</f>
        <v>208.18463400000002</v>
      </c>
      <c r="AH130" s="186">
        <f>VLOOKUP($H130,'Material impact data'!$E$19:$AM$61,'Material impact data'!AH$15,0)/VLOOKUP($H130,'Material impact data'!$E$19:$AM$61,4,0)*$I130</f>
        <v>414.39461700000004</v>
      </c>
      <c r="AI130" s="186">
        <f>VLOOKUP($H130,'Material impact data'!$E$19:$AM$61,'Material impact data'!AI$15,0)/VLOOKUP($H130,'Material impact data'!$E$19:$AM$61,4,0)*$I130</f>
        <v>7.5911226300000002E-6</v>
      </c>
      <c r="AJ130" s="186">
        <f>VLOOKUP($H130,'Material impact data'!$E$19:$AM$61,'Material impact data'!AJ$15,0)/VLOOKUP($H130,'Material impact data'!$E$19:$AM$61,4,0)*$I130</f>
        <v>0.20865478900000001</v>
      </c>
      <c r="AK130" s="186">
        <f>VLOOKUP($H130,'Material impact data'!$E$19:$AM$61,'Material impact data'!AK$15,0)/VLOOKUP($H130,'Material impact data'!$E$19:$AM$61,4,0)*$I130</f>
        <v>2.9751408400000002E-2</v>
      </c>
      <c r="AL130" s="186">
        <f>VLOOKUP($H130,'Material impact data'!$E$19:$AM$61,'Material impact data'!AL$15,0)/VLOOKUP($H130,'Material impact data'!$E$19:$AM$61,4,0)*$I130</f>
        <v>1.2496719900000001E-2</v>
      </c>
      <c r="AM130" s="186">
        <f>VLOOKUP($H130,'Material impact data'!$E$19:$AM$61,'Material impact data'!AM$15,0)/VLOOKUP($H130,'Material impact data'!$E$19:$AM$61,4,0)*$I130</f>
        <v>1.04562472E-10</v>
      </c>
      <c r="AO130" s="189">
        <f>M130/'Building &amp; Material inputs'!$C$18/'Building &amp; Material inputs'!$C$19</f>
        <v>0.32052039375582481</v>
      </c>
      <c r="AP130" s="189">
        <f>N130/'Building &amp; Material inputs'!$C$18/'Building &amp; Material inputs'!$C$19</f>
        <v>1.532860119602361</v>
      </c>
      <c r="AQ130" s="141">
        <f>O130/'Building &amp; Material inputs'!$C$18/'Building &amp; Material inputs'!$C$19</f>
        <v>1.8527232603292947E-3</v>
      </c>
      <c r="AR130" s="141">
        <f>P130/'Building &amp; Material inputs'!$C$18/'Building &amp; Material inputs'!$C$19</f>
        <v>3.2168884358496429E-2</v>
      </c>
      <c r="AS130" s="188">
        <f>Q130/'Building &amp; Material inputs'!$C$18/'Building &amp; Material inputs'!$C$19</f>
        <v>6.9705335119602365E-3</v>
      </c>
      <c r="AT130" s="188">
        <f>R130/'Building &amp; Material inputs'!$C$18/'Building &amp; Material inputs'!$C$19</f>
        <v>3.429400248524387E-2</v>
      </c>
      <c r="AU130" s="189">
        <f>S130/'Building &amp; Material inputs'!$C$18/'Building &amp; Material inputs'!$C$19</f>
        <v>0.12663075023299164</v>
      </c>
      <c r="AV130" s="189">
        <f>T130/'Building &amp; Material inputs'!$C$18/'Building &amp; Material inputs'!$C$19</f>
        <v>1.4466869447033244</v>
      </c>
      <c r="AW130" s="189">
        <f>U130/'Building &amp; Material inputs'!$C$18/'Building &amp; Material inputs'!$C$19</f>
        <v>2.794785935073004E-8</v>
      </c>
      <c r="AX130" s="189">
        <f>V130/'Building &amp; Material inputs'!$C$18/'Building &amp; Material inputs'!$C$19</f>
        <v>7.4123536036036039E-4</v>
      </c>
      <c r="AY130" s="189">
        <f>W130/'Building &amp; Material inputs'!$C$18/'Building &amp; Material inputs'!$C$19</f>
        <v>1.0158210702081393E-4</v>
      </c>
      <c r="AZ130" s="189">
        <f>X130/'Building &amp; Material inputs'!$C$18/'Building &amp; Material inputs'!$C$19</f>
        <v>4.3787657347002182E-5</v>
      </c>
      <c r="BA130" s="189">
        <f>Y130/'Building &amp; Material inputs'!$C$18/'Building &amp; Material inputs'!$C$19</f>
        <v>4.0589025939732842E-13</v>
      </c>
      <c r="BB130" s="141">
        <f>Z130/'Building &amp; Material inputs'!$C$18/'Building &amp; Material inputs'!$C$19</f>
        <v>2.3661109040074564E-3</v>
      </c>
      <c r="BC130" s="141">
        <f>AA130/'Building &amp; Material inputs'!$C$18/'Building &amp; Material inputs'!$C$19</f>
        <v>3.1840257844050951E-2</v>
      </c>
      <c r="BD130" s="141">
        <f>AB130/'Building &amp; Material inputs'!$C$18/'Building &amp; Material inputs'!$C$19</f>
        <v>1.9454689655172415E-10</v>
      </c>
      <c r="BE130" s="141">
        <f>AC130/'Building &amp; Material inputs'!$C$18/'Building &amp; Material inputs'!$C$19</f>
        <v>3.4995072382727564E-6</v>
      </c>
      <c r="BF130" s="141">
        <f>AD130/'Building &amp; Material inputs'!$C$18/'Building &amp; Material inputs'!$C$19</f>
        <v>7.6241351351351361E-7</v>
      </c>
      <c r="BG130" s="141">
        <f>AE130/'Building &amp; Material inputs'!$C$18/'Building &amp; Material inputs'!$C$19</f>
        <v>-7.8505222895309115E-7</v>
      </c>
      <c r="BH130" s="141">
        <f>AF130/'Building &amp; Material inputs'!$C$18/'Building &amp; Material inputs'!$C$19</f>
        <v>5.8751117971419688E-19</v>
      </c>
      <c r="BI130" s="188">
        <f>AG130/'Building &amp; Material inputs'!$C$18/'Building &amp; Material inputs'!$C$19</f>
        <v>1.6168424510717615E-2</v>
      </c>
      <c r="BJ130" s="188">
        <f>AH130/'Building &amp; Material inputs'!$C$18/'Building &amp; Material inputs'!$C$19</f>
        <v>3.2183489981360676E-2</v>
      </c>
      <c r="BK130" s="188">
        <f>AI130/'Building &amp; Material inputs'!$C$18/'Building &amp; Material inputs'!$C$19</f>
        <v>5.8955596691519112E-10</v>
      </c>
      <c r="BL130" s="188">
        <f>AJ130/'Building &amp; Material inputs'!$C$18/'Building &amp; Material inputs'!$C$19</f>
        <v>1.6204938567878225E-5</v>
      </c>
      <c r="BM130" s="188">
        <f>AK130/'Building &amp; Material inputs'!$C$18/'Building &amp; Material inputs'!$C$19</f>
        <v>2.3106095371233307E-6</v>
      </c>
      <c r="BN130" s="188">
        <f>AL130/'Building &amp; Material inputs'!$C$18/'Building &amp; Material inputs'!$C$19</f>
        <v>9.7054363932898429E-7</v>
      </c>
      <c r="BO130" s="188">
        <f>AM130/'Building &amp; Material inputs'!$C$18/'Building &amp; Material inputs'!$C$19</f>
        <v>8.1207263125194178E-15</v>
      </c>
      <c r="BV130" s="203" t="s">
        <v>662</v>
      </c>
      <c r="BW130" s="216">
        <f>$AW$37</f>
        <v>6.7938703706896563E-7</v>
      </c>
      <c r="BX130" s="221">
        <f>$BD$37</f>
        <v>2.5226249720410068E-8</v>
      </c>
      <c r="BY130" s="226">
        <f>$BK$37</f>
        <v>3.3222675250931968E-9</v>
      </c>
      <c r="CA130" s="203" t="s">
        <v>662</v>
      </c>
      <c r="CB130" s="216">
        <f>$AZ$37</f>
        <v>3.1238094035414727E-4</v>
      </c>
      <c r="CC130" s="221">
        <f>$BG$37</f>
        <v>-1.172251095060578E-5</v>
      </c>
      <c r="CD130" s="226">
        <f>$BN$37</f>
        <v>1.8880112112443405E-5</v>
      </c>
    </row>
    <row r="131" spans="2:82" ht="16.5" customHeight="1" thickBot="1" x14ac:dyDescent="0.3">
      <c r="B131" s="334"/>
      <c r="C131" s="305"/>
      <c r="D131" s="303"/>
      <c r="E131" s="65" t="s">
        <v>226</v>
      </c>
      <c r="F131" s="80" t="s">
        <v>227</v>
      </c>
      <c r="G131" s="66" t="s">
        <v>59</v>
      </c>
      <c r="H131" s="66" t="str">
        <f>'Material quantities'!G131</f>
        <v>MOR</v>
      </c>
      <c r="I131" s="38">
        <f>'Material quantities'!O131</f>
        <v>6447.8399999999992</v>
      </c>
      <c r="J131" s="68" t="s">
        <v>15</v>
      </c>
      <c r="K131" s="2"/>
      <c r="L131" s="144">
        <f>VLOOKUP($H131,'Material impact data'!$E$19:$AM$61,6,0)/VLOOKUP($H131,'Material impact data'!$E$19:$AM$61,4,0)*$I131</f>
        <v>1611.9599999999998</v>
      </c>
      <c r="M131" s="140">
        <f>VLOOKUP($H131,'Material impact data'!$E$19:$AM$61,'Material impact data'!M$15,0)/VLOOKUP($H131,'Material impact data'!$E$19:$AM$61,4,0)*$I131</f>
        <v>2450.1791999999996</v>
      </c>
      <c r="N131" s="140">
        <f>VLOOKUP($H131,'Material impact data'!$E$19:$AM$61,'Material impact data'!N$15,0)/VLOOKUP($H131,'Material impact data'!$E$19:$AM$61,4,0)*$I131</f>
        <v>33786.681599999996</v>
      </c>
      <c r="O131" s="185">
        <f>VLOOKUP($H131,'Material impact data'!$E$19:$AM$61,'Material impact data'!O$15,0)/VLOOKUP($H131,'Material impact data'!$E$19:$AM$61,4,0)*$I131</f>
        <v>0</v>
      </c>
      <c r="P131" s="185">
        <f>VLOOKUP($H131,'Material impact data'!$E$19:$AM$61,'Material impact data'!P$15,0)/VLOOKUP($H131,'Material impact data'!$E$19:$AM$61,4,0)*$I131</f>
        <v>0</v>
      </c>
      <c r="Q131" s="186">
        <f>VLOOKUP($H131,'Material impact data'!$E$19:$AM$61,'Material impact data'!Q$15,0)/VLOOKUP($H131,'Material impact data'!$E$19:$AM$61,4,0)*$I131</f>
        <v>0</v>
      </c>
      <c r="R131" s="186">
        <f>VLOOKUP($H131,'Material impact data'!$E$19:$AM$61,'Material impact data'!R$15,0)/VLOOKUP($H131,'Material impact data'!$E$19:$AM$61,4,0)*$I131</f>
        <v>0</v>
      </c>
      <c r="S131" s="140">
        <f>VLOOKUP($H131,'Material impact data'!$E$19:$AM$61,'Material impact data'!S$15,0)/VLOOKUP($H131,'Material impact data'!$E$19:$AM$61,4,0)*$I131</f>
        <v>3707.5079999999994</v>
      </c>
      <c r="T131" s="140">
        <f>VLOOKUP($H131,'Material impact data'!$E$19:$AM$61,'Material impact data'!T$15,0)/VLOOKUP($H131,'Material impact data'!$E$19:$AM$61,4,0)*$I131</f>
        <v>33722.203199999996</v>
      </c>
      <c r="U131" s="140">
        <f>VLOOKUP($H131,'Material impact data'!$E$19:$AM$61,'Material impact data'!U$15,0)/VLOOKUP($H131,'Material impact data'!$E$19:$AM$61,4,0)*$I131</f>
        <v>5.3646028799999995E-2</v>
      </c>
      <c r="V131" s="140">
        <f>VLOOKUP($H131,'Material impact data'!$E$19:$AM$61,'Material impact data'!V$15,0)/VLOOKUP($H131,'Material impact data'!$E$19:$AM$61,4,0)*$I131</f>
        <v>13.733899199999998</v>
      </c>
      <c r="W131" s="140">
        <f>VLOOKUP($H131,'Material impact data'!$E$19:$AM$61,'Material impact data'!W$15,0)/VLOOKUP($H131,'Material impact data'!$E$19:$AM$61,4,0)*$I131</f>
        <v>0.67702319999999994</v>
      </c>
      <c r="X131" s="140">
        <f>VLOOKUP($H131,'Material impact data'!$E$19:$AM$61,'Material impact data'!X$15,0)/VLOOKUP($H131,'Material impact data'!$E$19:$AM$61,4,0)*$I131</f>
        <v>10.058630399999998</v>
      </c>
      <c r="Y131" s="140">
        <f>VLOOKUP($H131,'Material impact data'!$E$19:$AM$61,'Material impact data'!Y$15,0)/VLOOKUP($H131,'Material impact data'!$E$19:$AM$61,4,0)*$I131</f>
        <v>2.8048103999999996E-4</v>
      </c>
      <c r="Z131" s="185">
        <f>VLOOKUP($H131,'Material impact data'!$E$19:$AM$61,'Material impact data'!Z$15,0)/VLOOKUP($H131,'Material impact data'!$E$19:$AM$61,4,0)*$I131</f>
        <v>211.85667887999995</v>
      </c>
      <c r="AA131" s="185">
        <f>VLOOKUP($H131,'Material impact data'!$E$19:$AM$61,'Material impact data'!AA$15,0)/VLOOKUP($H131,'Material impact data'!$E$19:$AM$61,4,0)*$I131</f>
        <v>2330.2493759999998</v>
      </c>
      <c r="AB131" s="185">
        <f>VLOOKUP($H131,'Material impact data'!$E$19:$AM$61,'Material impact data'!AB$15,0)/VLOOKUP($H131,'Material impact data'!$E$19:$AM$61,4,0)*$I131</f>
        <v>1.27022448E-2</v>
      </c>
      <c r="AC131" s="185">
        <f>VLOOKUP($H131,'Material impact data'!$E$19:$AM$61,'Material impact data'!AC$15,0)/VLOOKUP($H131,'Material impact data'!$E$19:$AM$61,4,0)*$I131</f>
        <v>1.4737827887999997</v>
      </c>
      <c r="AD131" s="185">
        <f>VLOOKUP($H131,'Material impact data'!$E$19:$AM$61,'Material impact data'!AD$15,0)/VLOOKUP($H131,'Material impact data'!$E$19:$AM$61,4,0)*$I131</f>
        <v>0.28949512031999997</v>
      </c>
      <c r="AE131" s="185">
        <f>VLOOKUP($H131,'Material impact data'!$E$19:$AM$61,'Material impact data'!AE$15,0)/VLOOKUP($H131,'Material impact data'!$E$19:$AM$61,4,0)*$I131</f>
        <v>0.78952511231999989</v>
      </c>
      <c r="AF131" s="185">
        <f>VLOOKUP($H131,'Material impact data'!$E$19:$AM$61,'Material impact data'!AF$15,0)/VLOOKUP($H131,'Material impact data'!$E$19:$AM$61,4,0)*$I131</f>
        <v>0.26320082879999995</v>
      </c>
      <c r="AG131" s="186">
        <f>VLOOKUP($H131,'Material impact data'!$E$19:$AM$61,'Material impact data'!AG$15,0)/VLOOKUP($H131,'Material impact data'!$E$19:$AM$61,4,0)*$I131</f>
        <v>1.9214563199999996E-2</v>
      </c>
      <c r="AH131" s="186">
        <f>VLOOKUP($H131,'Material impact data'!$E$19:$AM$61,'Material impact data'!AH$15,0)/VLOOKUP($H131,'Material impact data'!$E$19:$AM$61,4,0)*$I131</f>
        <v>0.26320082879999995</v>
      </c>
      <c r="AI131" s="186">
        <f>VLOOKUP($H131,'Material impact data'!$E$19:$AM$61,'Material impact data'!AI$15,0)/VLOOKUP($H131,'Material impact data'!$E$19:$AM$61,4,0)*$I131</f>
        <v>7.1055196799999996E-7</v>
      </c>
      <c r="AJ131" s="186">
        <f>VLOOKUP($H131,'Material impact data'!$E$19:$AM$61,'Material impact data'!AJ$15,0)/VLOOKUP($H131,'Material impact data'!$E$19:$AM$61,4,0)*$I131</f>
        <v>8.4479599679999989E-2</v>
      </c>
      <c r="AK131" s="186">
        <f>VLOOKUP($H131,'Material impact data'!$E$19:$AM$61,'Material impact data'!AK$15,0)/VLOOKUP($H131,'Material impact data'!$E$19:$AM$61,4,0)*$I131</f>
        <v>3.4476600479999996E-4</v>
      </c>
      <c r="AL131" s="186">
        <f>VLOOKUP($H131,'Material impact data'!$E$19:$AM$61,'Material impact data'!AL$15,0)/VLOOKUP($H131,'Material impact data'!$E$19:$AM$61,4,0)*$I131</f>
        <v>1.6338826559999998E-5</v>
      </c>
      <c r="AM131" s="186">
        <f>VLOOKUP($H131,'Material impact data'!$E$19:$AM$61,'Material impact data'!AM$15,0)/VLOOKUP($H131,'Material impact data'!$E$19:$AM$61,4,0)*$I131</f>
        <v>1.2682901279999998E-9</v>
      </c>
      <c r="AO131" s="189">
        <f>M131/'Building &amp; Material inputs'!$C$18/'Building &amp; Material inputs'!$C$19</f>
        <v>0.19029040074557316</v>
      </c>
      <c r="AP131" s="189">
        <f>N131/'Building &amp; Material inputs'!$C$18/'Building &amp; Material inputs'!$C$19</f>
        <v>2.6240044734389563</v>
      </c>
      <c r="AQ131" s="141">
        <f>O131/'Building &amp; Material inputs'!$C$18/'Building &amp; Material inputs'!$C$19</f>
        <v>0</v>
      </c>
      <c r="AR131" s="141">
        <f>P131/'Building &amp; Material inputs'!$C$18/'Building &amp; Material inputs'!$C$19</f>
        <v>0</v>
      </c>
      <c r="AS131" s="188">
        <f>Q131/'Building &amp; Material inputs'!$C$18/'Building &amp; Material inputs'!$C$19</f>
        <v>0</v>
      </c>
      <c r="AT131" s="188">
        <f>R131/'Building &amp; Material inputs'!$C$18/'Building &amp; Material inputs'!$C$19</f>
        <v>0</v>
      </c>
      <c r="AU131" s="189">
        <f>S131/'Building &amp; Material inputs'!$C$18/'Building &amp; Material inputs'!$C$19</f>
        <v>0.28793942218080149</v>
      </c>
      <c r="AV131" s="189">
        <f>T131/'Building &amp; Material inputs'!$C$18/'Building &amp; Material inputs'!$C$19</f>
        <v>2.6189968313140723</v>
      </c>
      <c r="AW131" s="189">
        <f>U131/'Building &amp; Material inputs'!$C$18/'Building &amp; Material inputs'!$C$19</f>
        <v>4.1663582479030755E-6</v>
      </c>
      <c r="AX131" s="189">
        <f>V131/'Building &amp; Material inputs'!$C$18/'Building &amp; Material inputs'!$C$19</f>
        <v>1.0666277726001864E-3</v>
      </c>
      <c r="AY131" s="189">
        <f>W131/'Building &amp; Material inputs'!$C$18/'Building &amp; Material inputs'!$C$19</f>
        <v>5.2580242311276799E-5</v>
      </c>
      <c r="AZ131" s="189">
        <f>X131/'Building &amp; Material inputs'!$C$18/'Building &amp; Material inputs'!$C$19</f>
        <v>7.8119217148182667E-4</v>
      </c>
      <c r="BA131" s="189">
        <f>Y131/'Building &amp; Material inputs'!$C$18/'Building &amp; Material inputs'!$C$19</f>
        <v>2.1783243243243244E-8</v>
      </c>
      <c r="BB131" s="141">
        <f>Z131/'Building &amp; Material inputs'!$C$18/'Building &amp; Material inputs'!$C$19</f>
        <v>1.6453609729729726E-2</v>
      </c>
      <c r="BC131" s="141">
        <f>AA131/'Building &amp; Material inputs'!$C$18/'Building &amp; Material inputs'!$C$19</f>
        <v>0.18097618639328986</v>
      </c>
      <c r="BD131" s="141">
        <f>AB131/'Building &amp; Material inputs'!$C$18/'Building &amp; Material inputs'!$C$19</f>
        <v>9.8650549860205052E-7</v>
      </c>
      <c r="BE131" s="141">
        <f>AC131/'Building &amp; Material inputs'!$C$18/'Building &amp; Material inputs'!$C$19</f>
        <v>1.1445967604846223E-4</v>
      </c>
      <c r="BF131" s="141">
        <f>AD131/'Building &amp; Material inputs'!$C$18/'Building &amp; Material inputs'!$C$19</f>
        <v>2.2483311612301956E-5</v>
      </c>
      <c r="BG131" s="141">
        <f>AE131/'Building &amp; Material inputs'!$C$18/'Building &amp; Material inputs'!$C$19</f>
        <v>6.1317576290773521E-5</v>
      </c>
      <c r="BH131" s="141">
        <f>AF131/'Building &amp; Material inputs'!$C$18/'Building &amp; Material inputs'!$C$19</f>
        <v>2.0441195153774461E-5</v>
      </c>
      <c r="BI131" s="188">
        <f>AG131/'Building &amp; Material inputs'!$C$18/'Building &amp; Material inputs'!$C$19</f>
        <v>1.492277353215284E-6</v>
      </c>
      <c r="BJ131" s="188">
        <f>AH131/'Building &amp; Material inputs'!$C$18/'Building &amp; Material inputs'!$C$19</f>
        <v>2.0441195153774461E-5</v>
      </c>
      <c r="BK131" s="188">
        <f>AI131/'Building &amp; Material inputs'!$C$18/'Building &amp; Material inputs'!$C$19</f>
        <v>5.5184216216216218E-11</v>
      </c>
      <c r="BL131" s="188">
        <f>AJ131/'Building &amp; Material inputs'!$C$18/'Building &amp; Material inputs'!$C$19</f>
        <v>6.5610127120223666E-6</v>
      </c>
      <c r="BM131" s="188">
        <f>AK131/'Building &amp; Material inputs'!$C$18/'Building &amp; Material inputs'!$C$19</f>
        <v>2.6775862441752097E-8</v>
      </c>
      <c r="BN131" s="188">
        <f>AL131/'Building &amp; Material inputs'!$C$18/'Building &amp; Material inputs'!$C$19</f>
        <v>1.2689365144454799E-9</v>
      </c>
      <c r="BO131" s="188">
        <f>AM131/'Building &amp; Material inputs'!$C$18/'Building &amp; Material inputs'!$C$19</f>
        <v>9.8500320596458528E-14</v>
      </c>
      <c r="BQ131" s="354" t="s">
        <v>634</v>
      </c>
      <c r="BR131" s="300" t="s">
        <v>659</v>
      </c>
      <c r="BS131" s="335"/>
      <c r="BT131" s="301"/>
      <c r="BV131" s="204" t="s">
        <v>663</v>
      </c>
      <c r="BW131" s="216">
        <f>$AW$64</f>
        <v>1.402743020503262E-6</v>
      </c>
      <c r="BX131" s="221">
        <f>$BD$64</f>
        <v>6.35806357564461E-8</v>
      </c>
      <c r="BY131" s="226">
        <f>$BK$64</f>
        <v>2.7034137134513825E-8</v>
      </c>
      <c r="CA131" s="204" t="s">
        <v>663</v>
      </c>
      <c r="CB131" s="216">
        <f>$AZ$64</f>
        <v>2.8304270503261883E-4</v>
      </c>
      <c r="CC131" s="221">
        <f>$BG$64</f>
        <v>-2.5053596536191364E-4</v>
      </c>
      <c r="CD131" s="226">
        <f>$BN$64</f>
        <v>6.2140621459397337E-7</v>
      </c>
    </row>
    <row r="132" spans="2:82" ht="15.75" thickBot="1" x14ac:dyDescent="0.3">
      <c r="B132" s="334"/>
      <c r="C132" s="305"/>
      <c r="D132" s="299" t="s">
        <v>498</v>
      </c>
      <c r="E132" s="76" t="s">
        <v>218</v>
      </c>
      <c r="F132" s="76" t="s">
        <v>228</v>
      </c>
      <c r="G132" s="82" t="s">
        <v>107</v>
      </c>
      <c r="H132" s="66" t="str">
        <f>'Material quantities'!G132</f>
        <v>RTIL</v>
      </c>
      <c r="I132" s="38">
        <f>'Material quantities'!O132</f>
        <v>3670.1363017149256</v>
      </c>
      <c r="J132" s="62" t="s">
        <v>15</v>
      </c>
      <c r="K132" s="2"/>
      <c r="L132" s="144">
        <f>VLOOKUP($H132,'Material impact data'!$E$19:$AM$61,6,0)/VLOOKUP($H132,'Material impact data'!$E$19:$AM$61,4,0)*$I132</f>
        <v>11377.422535316269</v>
      </c>
      <c r="M132" s="140">
        <f>VLOOKUP($H132,'Material impact data'!$E$19:$AM$61,'Material impact data'!M$15,0)/VLOOKUP($H132,'Material impact data'!$E$19:$AM$61,4,0)*$I132</f>
        <v>3963.7472058521198</v>
      </c>
      <c r="N132" s="140">
        <f>VLOOKUP($H132,'Material impact data'!$E$19:$AM$61,'Material impact data'!N$15,0)/VLOOKUP($H132,'Material impact data'!$E$19:$AM$61,4,0)*$I132</f>
        <v>16845.925624871506</v>
      </c>
      <c r="O132" s="185">
        <f>VLOOKUP($H132,'Material impact data'!$E$19:$AM$61,'Material impact data'!O$15,0)/VLOOKUP($H132,'Material impact data'!$E$19:$AM$61,4,0)*$I132</f>
        <v>7.5237794185155966</v>
      </c>
      <c r="P132" s="185">
        <f>VLOOKUP($H132,'Material impact data'!$E$19:$AM$61,'Material impact data'!P$15,0)/VLOOKUP($H132,'Material impact data'!$E$19:$AM$61,4,0)*$I132</f>
        <v>161.85301090562822</v>
      </c>
      <c r="Q132" s="186">
        <f>VLOOKUP($H132,'Material impact data'!$E$19:$AM$61,'Material impact data'!Q$15,0)/VLOOKUP($H132,'Material impact data'!$E$19:$AM$61,4,0)*$I132</f>
        <v>3.7802403907663735</v>
      </c>
      <c r="R132" s="186">
        <f>VLOOKUP($H132,'Material impact data'!$E$19:$AM$61,'Material impact data'!R$15,0)/VLOOKUP($H132,'Material impact data'!$E$19:$AM$61,4,0)*$I132</f>
        <v>32.921122626382882</v>
      </c>
      <c r="S132" s="140">
        <f>VLOOKUP($H132,'Material impact data'!$E$19:$AM$61,'Material impact data'!S$15,0)/VLOOKUP($H132,'Material impact data'!$E$19:$AM$61,4,0)*$I132</f>
        <v>1031.3083007818941</v>
      </c>
      <c r="T132" s="140">
        <f>VLOOKUP($H132,'Material impact data'!$E$19:$AM$61,'Material impact data'!T$15,0)/VLOOKUP($H132,'Material impact data'!$E$19:$AM$61,4,0)*$I132</f>
        <v>16515.613357717164</v>
      </c>
      <c r="U132" s="140">
        <f>VLOOKUP($H132,'Material impact data'!$E$19:$AM$61,'Material impact data'!U$15,0)/VLOOKUP($H132,'Material impact data'!$E$19:$AM$61,4,0)*$I132</f>
        <v>1.4717246569876852E-3</v>
      </c>
      <c r="V132" s="140">
        <f>VLOOKUP($H132,'Material impact data'!$E$19:$AM$61,'Material impact data'!V$15,0)/VLOOKUP($H132,'Material impact data'!$E$19:$AM$61,4,0)*$I132</f>
        <v>14.093323398585314</v>
      </c>
      <c r="W132" s="140">
        <f>VLOOKUP($H132,'Material impact data'!$E$19:$AM$61,'Material impact data'!W$15,0)/VLOOKUP($H132,'Material impact data'!$E$19:$AM$61,4,0)*$I132</f>
        <v>1.1817838891522061</v>
      </c>
      <c r="X132" s="140">
        <f>VLOOKUP($H132,'Material impact data'!$E$19:$AM$61,'Material impact data'!X$15,0)/VLOOKUP($H132,'Material impact data'!$E$19:$AM$61,4,0)*$I132</f>
        <v>0.741367532946415</v>
      </c>
      <c r="Y132" s="140">
        <f>VLOOKUP($H132,'Material impact data'!$E$19:$AM$61,'Material impact data'!Y$15,0)/VLOOKUP($H132,'Material impact data'!$E$19:$AM$61,4,0)*$I132</f>
        <v>7.7439875966184935E-6</v>
      </c>
      <c r="Z132" s="185">
        <f>VLOOKUP($H132,'Material impact data'!$E$19:$AM$61,'Material impact data'!Z$15,0)/VLOOKUP($H132,'Material impact data'!$E$19:$AM$61,4,0)*$I132</f>
        <v>11.891241617556361</v>
      </c>
      <c r="AA132" s="185">
        <f>VLOOKUP($H132,'Material impact data'!$E$19:$AM$61,'Material impact data'!AA$15,0)/VLOOKUP($H132,'Material impact data'!$E$19:$AM$61,4,0)*$I132</f>
        <v>160.38495638494226</v>
      </c>
      <c r="AB132" s="185">
        <f>VLOOKUP($H132,'Material impact data'!$E$19:$AM$61,'Material impact data'!AB$15,0)/VLOOKUP($H132,'Material impact data'!$E$19:$AM$61,4,0)*$I132</f>
        <v>1.0129576192733193E-6</v>
      </c>
      <c r="AC132" s="185">
        <f>VLOOKUP($H132,'Material impact data'!$E$19:$AM$61,'Material impact data'!AC$15,0)/VLOOKUP($H132,'Material impact data'!$E$19:$AM$61,4,0)*$I132</f>
        <v>8.6615216720472253E-3</v>
      </c>
      <c r="AD132" s="185">
        <f>VLOOKUP($H132,'Material impact data'!$E$19:$AM$61,'Material impact data'!AD$15,0)/VLOOKUP($H132,'Material impact data'!$E$19:$AM$61,4,0)*$I132</f>
        <v>1.724964061806015E-3</v>
      </c>
      <c r="AE132" s="185">
        <f>VLOOKUP($H132,'Material impact data'!$E$19:$AM$61,'Material impact data'!AE$15,0)/VLOOKUP($H132,'Material impact data'!$E$19:$AM$61,4,0)*$I132</f>
        <v>-1.1157214357213374E-4</v>
      </c>
      <c r="AF132" s="185">
        <f>VLOOKUP($H132,'Material impact data'!$E$19:$AM$61,'Material impact data'!AF$15,0)/VLOOKUP($H132,'Material impact data'!$E$19:$AM$61,4,0)*$I132</f>
        <v>8.5147162199786281E-13</v>
      </c>
      <c r="AG132" s="186">
        <f>VLOOKUP($H132,'Material impact data'!$E$19:$AM$61,'Material impact data'!AG$15,0)/VLOOKUP($H132,'Material impact data'!$E$19:$AM$61,4,0)*$I132</f>
        <v>27.746230440964837</v>
      </c>
      <c r="AH132" s="186">
        <f>VLOOKUP($H132,'Material impact data'!$E$19:$AM$61,'Material impact data'!AH$15,0)/VLOOKUP($H132,'Material impact data'!$E$19:$AM$61,4,0)*$I132</f>
        <v>31.673276283799808</v>
      </c>
      <c r="AI132" s="186">
        <f>VLOOKUP($H132,'Material impact data'!$E$19:$AM$61,'Material impact data'!AI$15,0)/VLOOKUP($H132,'Material impact data'!$E$19:$AM$61,4,0)*$I132</f>
        <v>2.3305365515889778E-7</v>
      </c>
      <c r="AJ132" s="186">
        <f>VLOOKUP($H132,'Material impact data'!$E$19:$AM$61,'Material impact data'!AJ$15,0)/VLOOKUP($H132,'Material impact data'!$E$19:$AM$61,4,0)*$I132</f>
        <v>1.181783889152206E-2</v>
      </c>
      <c r="AK132" s="186">
        <f>VLOOKUP($H132,'Material impact data'!$E$19:$AM$61,'Material impact data'!AK$15,0)/VLOOKUP($H132,'Material impact data'!$E$19:$AM$61,4,0)*$I132</f>
        <v>1.9818736029260601E-3</v>
      </c>
      <c r="AL132" s="186">
        <f>VLOOKUP($H132,'Material impact data'!$E$19:$AM$61,'Material impact data'!AL$15,0)/VLOOKUP($H132,'Material impact data'!$E$19:$AM$61,4,0)*$I132</f>
        <v>-3.402216351689736E-4</v>
      </c>
      <c r="AM132" s="186">
        <f>VLOOKUP($H132,'Material impact data'!$E$19:$AM$61,'Material impact data'!AM$15,0)/VLOOKUP($H132,'Material impact data'!$E$19:$AM$61,4,0)*$I132</f>
        <v>2.0038944207363492E-12</v>
      </c>
      <c r="AO132" s="189">
        <f>M132/'Building &amp; Material inputs'!$C$18/'Building &amp; Material inputs'!$C$19</f>
        <v>0.30783995074962101</v>
      </c>
      <c r="AP132" s="189">
        <f>N132/'Building &amp; Material inputs'!$C$18/'Building &amp; Material inputs'!$C$19</f>
        <v>1.308319790685889</v>
      </c>
      <c r="AQ132" s="141">
        <f>O132/'Building &amp; Material inputs'!$C$18/'Building &amp; Material inputs'!$C$19</f>
        <v>5.843258324414102E-4</v>
      </c>
      <c r="AR132" s="141">
        <f>P132/'Building &amp; Material inputs'!$C$18/'Building &amp; Material inputs'!$C$19</f>
        <v>1.257013132227619E-2</v>
      </c>
      <c r="AS132" s="188">
        <f>Q132/'Building &amp; Material inputs'!$C$18/'Building &amp; Material inputs'!$C$19</f>
        <v>2.9358810117787929E-4</v>
      </c>
      <c r="AT132" s="188">
        <f>R132/'Building &amp; Material inputs'!$C$18/'Building &amp; Material inputs'!$C$19</f>
        <v>2.5567818131704634E-3</v>
      </c>
      <c r="AU132" s="189">
        <f>S132/'Building &amp; Material inputs'!$C$18/'Building &amp; Material inputs'!$C$19</f>
        <v>8.0095394593188429E-2</v>
      </c>
      <c r="AV132" s="189">
        <f>T132/'Building &amp; Material inputs'!$C$18/'Building &amp; Material inputs'!$C$19</f>
        <v>1.282666461456754</v>
      </c>
      <c r="AW132" s="189">
        <f>U132/'Building &amp; Material inputs'!$C$18/'Building &amp; Material inputs'!$C$19</f>
        <v>1.1429983356536853E-7</v>
      </c>
      <c r="AX132" s="189">
        <f>V132/'Building &amp; Material inputs'!$C$18/'Building &amp; Material inputs'!$C$19</f>
        <v>1.0945420471097636E-3</v>
      </c>
      <c r="AY132" s="189">
        <f>W132/'Building &amp; Material inputs'!$C$18/'Building &amp; Material inputs'!$C$19</f>
        <v>9.1781911242016639E-5</v>
      </c>
      <c r="AZ132" s="189">
        <f>X132/'Building &amp; Material inputs'!$C$18/'Building &amp; Material inputs'!$C$19</f>
        <v>5.757747226983652E-5</v>
      </c>
      <c r="BA132" s="189">
        <f>Y132/'Building &amp; Material inputs'!$C$18/'Building &amp; Material inputs'!$C$19</f>
        <v>6.0142805192750025E-10</v>
      </c>
      <c r="BB132" s="141">
        <f>Z132/'Building &amp; Material inputs'!$C$18/'Building &amp; Material inputs'!$C$19</f>
        <v>9.235198522488632E-4</v>
      </c>
      <c r="BC132" s="141">
        <f>AA132/'Building &amp; Material inputs'!$C$18/'Building &amp; Material inputs'!$C$19</f>
        <v>1.2456116525702256E-2</v>
      </c>
      <c r="BD132" s="141">
        <f>AB132/'Building &amp; Material inputs'!$C$18/'Building &amp; Material inputs'!$C$19</f>
        <v>7.8670209636014245E-11</v>
      </c>
      <c r="BE132" s="141">
        <f>AC132/'Building &amp; Material inputs'!$C$18/'Building &amp; Material inputs'!$C$19</f>
        <v>6.7268729978620891E-7</v>
      </c>
      <c r="BF132" s="141">
        <f>AD132/'Building &amp; Material inputs'!$C$18/'Building &amp; Material inputs'!$C$19</f>
        <v>1.3396738597437209E-7</v>
      </c>
      <c r="BG132" s="141">
        <f>AE132/'Building &amp; Material inputs'!$C$18/'Building &amp; Material inputs'!$C$19</f>
        <v>-8.6651245396189621E-9</v>
      </c>
      <c r="BH132" s="141">
        <f>AF132/'Building &amp; Material inputs'!$C$18/'Building &amp; Material inputs'!$C$19</f>
        <v>6.6128582012881545E-17</v>
      </c>
      <c r="BI132" s="188">
        <f>AG132/'Building &amp; Material inputs'!$C$18/'Building &amp; Material inputs'!$C$19</f>
        <v>2.154879655247347E-3</v>
      </c>
      <c r="BJ132" s="188">
        <f>AH132/'Building &amp; Material inputs'!$C$18/'Building &amp; Material inputs'!$C$19</f>
        <v>2.4598692360826195E-3</v>
      </c>
      <c r="BK132" s="188">
        <f>AI132/'Building &amp; Material inputs'!$C$18/'Building &amp; Material inputs'!$C$19</f>
        <v>1.8099848956111975E-11</v>
      </c>
      <c r="BL132" s="188">
        <f>AJ132/'Building &amp; Material inputs'!$C$18/'Building &amp; Material inputs'!$C$19</f>
        <v>9.1781911242016625E-7</v>
      </c>
      <c r="BM132" s="188">
        <f>AK132/'Building &amp; Material inputs'!$C$18/'Building &amp; Material inputs'!$C$19</f>
        <v>1.5391997537481052E-7</v>
      </c>
      <c r="BN132" s="188">
        <f>AL132/'Building &amp; Material inputs'!$C$18/'Building &amp; Material inputs'!$C$19</f>
        <v>-2.6422929106009136E-8</v>
      </c>
      <c r="BO132" s="188">
        <f>AM132/'Building &amp; Material inputs'!$C$18/'Building &amp; Material inputs'!$C$19</f>
        <v>1.5563019732341947E-16</v>
      </c>
      <c r="BQ132" s="355"/>
      <c r="BR132" s="213" t="s">
        <v>39</v>
      </c>
      <c r="BS132" s="218" t="s">
        <v>660</v>
      </c>
      <c r="BT132" s="223" t="s">
        <v>661</v>
      </c>
      <c r="BV132" s="204" t="s">
        <v>664</v>
      </c>
      <c r="BW132" s="216">
        <f>$AW$108</f>
        <v>2.1803302039993424E-5</v>
      </c>
      <c r="BX132" s="221">
        <f>$BD$108</f>
        <v>1.934906624722431E-5</v>
      </c>
      <c r="BY132" s="226">
        <f>$BK$108</f>
        <v>2.2666725664852519E-7</v>
      </c>
      <c r="CA132" s="204" t="s">
        <v>664</v>
      </c>
      <c r="CB132" s="216">
        <f>$AZ$108</f>
        <v>3.2088579007992142E-3</v>
      </c>
      <c r="CC132" s="221">
        <f>$BG$108</f>
        <v>1.8542371472901156E-4</v>
      </c>
      <c r="CD132" s="226">
        <f>$BN$108</f>
        <v>4.0260191200556246E-6</v>
      </c>
    </row>
    <row r="133" spans="2:82" x14ac:dyDescent="0.25">
      <c r="B133" s="334"/>
      <c r="C133" s="305"/>
      <c r="D133" s="299"/>
      <c r="E133" s="76" t="s">
        <v>219</v>
      </c>
      <c r="F133" s="76" t="s">
        <v>229</v>
      </c>
      <c r="G133" s="60" t="s">
        <v>59</v>
      </c>
      <c r="H133" s="66" t="str">
        <f>'Material quantities'!G133</f>
        <v>MOR</v>
      </c>
      <c r="I133" s="38">
        <f>'Material quantities'!O133</f>
        <v>2936.1090413719403</v>
      </c>
      <c r="J133" s="62" t="s">
        <v>15</v>
      </c>
      <c r="K133" s="2"/>
      <c r="L133" s="144">
        <f>VLOOKUP($H133,'Material impact data'!$E$19:$AM$61,6,0)/VLOOKUP($H133,'Material impact data'!$E$19:$AM$61,4,0)*$I133</f>
        <v>734.02726034298507</v>
      </c>
      <c r="M133" s="140">
        <f>VLOOKUP($H133,'Material impact data'!$E$19:$AM$61,'Material impact data'!M$15,0)/VLOOKUP($H133,'Material impact data'!$E$19:$AM$61,4,0)*$I133</f>
        <v>1115.7214357213372</v>
      </c>
      <c r="N133" s="140">
        <f>VLOOKUP($H133,'Material impact data'!$E$19:$AM$61,'Material impact data'!N$15,0)/VLOOKUP($H133,'Material impact data'!$E$19:$AM$61,4,0)*$I133</f>
        <v>15385.211376788968</v>
      </c>
      <c r="O133" s="185">
        <f>VLOOKUP($H133,'Material impact data'!$E$19:$AM$61,'Material impact data'!O$15,0)/VLOOKUP($H133,'Material impact data'!$E$19:$AM$61,4,0)*$I133</f>
        <v>0</v>
      </c>
      <c r="P133" s="185">
        <f>VLOOKUP($H133,'Material impact data'!$E$19:$AM$61,'Material impact data'!P$15,0)/VLOOKUP($H133,'Material impact data'!$E$19:$AM$61,4,0)*$I133</f>
        <v>0</v>
      </c>
      <c r="Q133" s="186">
        <f>VLOOKUP($H133,'Material impact data'!$E$19:$AM$61,'Material impact data'!Q$15,0)/VLOOKUP($H133,'Material impact data'!$E$19:$AM$61,4,0)*$I133</f>
        <v>0</v>
      </c>
      <c r="R133" s="186">
        <f>VLOOKUP($H133,'Material impact data'!$E$19:$AM$61,'Material impact data'!R$15,0)/VLOOKUP($H133,'Material impact data'!$E$19:$AM$61,4,0)*$I133</f>
        <v>0</v>
      </c>
      <c r="S133" s="140">
        <f>VLOOKUP($H133,'Material impact data'!$E$19:$AM$61,'Material impact data'!S$15,0)/VLOOKUP($H133,'Material impact data'!$E$19:$AM$61,4,0)*$I133</f>
        <v>1688.2626987888655</v>
      </c>
      <c r="T133" s="140">
        <f>VLOOKUP($H133,'Material impact data'!$E$19:$AM$61,'Material impact data'!T$15,0)/VLOOKUP($H133,'Material impact data'!$E$19:$AM$61,4,0)*$I133</f>
        <v>15355.850286375249</v>
      </c>
      <c r="U133" s="140">
        <f>VLOOKUP($H133,'Material impact data'!$E$19:$AM$61,'Material impact data'!U$15,0)/VLOOKUP($H133,'Material impact data'!$E$19:$AM$61,4,0)*$I133</f>
        <v>2.4428427224214542E-2</v>
      </c>
      <c r="V133" s="140">
        <f>VLOOKUP($H133,'Material impact data'!$E$19:$AM$61,'Material impact data'!V$15,0)/VLOOKUP($H133,'Material impact data'!$E$19:$AM$61,4,0)*$I133</f>
        <v>6.2539122581222326</v>
      </c>
      <c r="W133" s="140">
        <f>VLOOKUP($H133,'Material impact data'!$E$19:$AM$61,'Material impact data'!W$15,0)/VLOOKUP($H133,'Material impact data'!$E$19:$AM$61,4,0)*$I133</f>
        <v>0.30829144934405373</v>
      </c>
      <c r="X133" s="140">
        <f>VLOOKUP($H133,'Material impact data'!$E$19:$AM$61,'Material impact data'!X$15,0)/VLOOKUP($H133,'Material impact data'!$E$19:$AM$61,4,0)*$I133</f>
        <v>4.5803301045402272</v>
      </c>
      <c r="Y133" s="140">
        <f>VLOOKUP($H133,'Material impact data'!$E$19:$AM$61,'Material impact data'!Y$15,0)/VLOOKUP($H133,'Material impact data'!$E$19:$AM$61,4,0)*$I133</f>
        <v>1.2772074329967941E-4</v>
      </c>
      <c r="Z133" s="185">
        <f>VLOOKUP($H133,'Material impact data'!$E$19:$AM$61,'Material impact data'!Z$15,0)/VLOOKUP($H133,'Material impact data'!$E$19:$AM$61,4,0)*$I133</f>
        <v>96.471734772357834</v>
      </c>
      <c r="AA133" s="185">
        <f>VLOOKUP($H133,'Material impact data'!$E$19:$AM$61,'Material impact data'!AA$15,0)/VLOOKUP($H133,'Material impact data'!$E$19:$AM$61,4,0)*$I133</f>
        <v>1061.1098075518191</v>
      </c>
      <c r="AB133" s="185">
        <f>VLOOKUP($H133,'Material impact data'!$E$19:$AM$61,'Material impact data'!AB$15,0)/VLOOKUP($H133,'Material impact data'!$E$19:$AM$61,4,0)*$I133</f>
        <v>5.7841348115027233E-3</v>
      </c>
      <c r="AC133" s="185">
        <f>VLOOKUP($H133,'Material impact data'!$E$19:$AM$61,'Material impact data'!AC$15,0)/VLOOKUP($H133,'Material impact data'!$E$19:$AM$61,4,0)*$I133</f>
        <v>0.67110644358638438</v>
      </c>
      <c r="AD133" s="185">
        <f>VLOOKUP($H133,'Material impact data'!$E$19:$AM$61,'Material impact data'!AD$15,0)/VLOOKUP($H133,'Material impact data'!$E$19:$AM$61,4,0)*$I133</f>
        <v>0.13182542373951739</v>
      </c>
      <c r="AE133" s="185">
        <f>VLOOKUP($H133,'Material impact data'!$E$19:$AM$61,'Material impact data'!AE$15,0)/VLOOKUP($H133,'Material impact data'!$E$19:$AM$61,4,0)*$I133</f>
        <v>0.35952067989791131</v>
      </c>
      <c r="AF133" s="185">
        <f>VLOOKUP($H133,'Material impact data'!$E$19:$AM$61,'Material impact data'!AF$15,0)/VLOOKUP($H133,'Material impact data'!$E$19:$AM$61,4,0)*$I133</f>
        <v>0.1198519710688026</v>
      </c>
      <c r="AG133" s="186">
        <f>VLOOKUP($H133,'Material impact data'!$E$19:$AM$61,'Material impact data'!AG$15,0)/VLOOKUP($H133,'Material impact data'!$E$19:$AM$61,4,0)*$I133</f>
        <v>8.7496049432883808E-3</v>
      </c>
      <c r="AH133" s="186">
        <f>VLOOKUP($H133,'Material impact data'!$E$19:$AM$61,'Material impact data'!AH$15,0)/VLOOKUP($H133,'Material impact data'!$E$19:$AM$61,4,0)*$I133</f>
        <v>0.1198519710688026</v>
      </c>
      <c r="AI133" s="186">
        <f>VLOOKUP($H133,'Material impact data'!$E$19:$AM$61,'Material impact data'!AI$15,0)/VLOOKUP($H133,'Material impact data'!$E$19:$AM$61,4,0)*$I133</f>
        <v>3.2355921635918785E-7</v>
      </c>
      <c r="AJ133" s="186">
        <f>VLOOKUP($H133,'Material impact data'!$E$19:$AM$61,'Material impact data'!AJ$15,0)/VLOOKUP($H133,'Material impact data'!$E$19:$AM$61,4,0)*$I133</f>
        <v>3.8468900660055157E-2</v>
      </c>
      <c r="AK133" s="186">
        <f>VLOOKUP($H133,'Material impact data'!$E$19:$AM$61,'Material impact data'!AK$15,0)/VLOOKUP($H133,'Material impact data'!$E$19:$AM$61,4,0)*$I133</f>
        <v>1.5699375044215765E-4</v>
      </c>
      <c r="AL133" s="186">
        <f>VLOOKUP($H133,'Material impact data'!$E$19:$AM$61,'Material impact data'!AL$15,0)/VLOOKUP($H133,'Material impact data'!$E$19:$AM$61,4,0)*$I133</f>
        <v>7.4401003108364973E-6</v>
      </c>
      <c r="AM133" s="186">
        <f>VLOOKUP($H133,'Material impact data'!$E$19:$AM$61,'Material impact data'!AM$15,0)/VLOOKUP($H133,'Material impact data'!$E$19:$AM$61,4,0)*$I133</f>
        <v>5.7753264843786071E-10</v>
      </c>
      <c r="AO133" s="189">
        <f>M133/'Building &amp; Material inputs'!$C$18/'Building &amp; Material inputs'!$C$19</f>
        <v>8.6651245396189597E-2</v>
      </c>
      <c r="AP133" s="189">
        <f>N133/'Building &amp; Material inputs'!$C$18/'Building &amp; Material inputs'!$C$19</f>
        <v>1.194875068094825</v>
      </c>
      <c r="AQ133" s="141">
        <f>O133/'Building &amp; Material inputs'!$C$18/'Building &amp; Material inputs'!$C$19</f>
        <v>0</v>
      </c>
      <c r="AR133" s="141">
        <f>P133/'Building &amp; Material inputs'!$C$18/'Building &amp; Material inputs'!$C$19</f>
        <v>0</v>
      </c>
      <c r="AS133" s="188">
        <f>Q133/'Building &amp; Material inputs'!$C$18/'Building &amp; Material inputs'!$C$19</f>
        <v>0</v>
      </c>
      <c r="AT133" s="188">
        <f>R133/'Building &amp; Material inputs'!$C$18/'Building &amp; Material inputs'!$C$19</f>
        <v>0</v>
      </c>
      <c r="AU133" s="189">
        <f>S133/'Building &amp; Material inputs'!$C$18/'Building &amp; Material inputs'!$C$19</f>
        <v>0.13111701606002374</v>
      </c>
      <c r="AV133" s="189">
        <f>T133/'Building &amp; Material inputs'!$C$18/'Building &amp; Material inputs'!$C$19</f>
        <v>1.1925947721633465</v>
      </c>
      <c r="AW133" s="189">
        <f>U133/'Building &amp; Material inputs'!$C$18/'Building &amp; Material inputs'!$C$19</f>
        <v>1.8972062149902566E-6</v>
      </c>
      <c r="AX133" s="189">
        <f>V133/'Building &amp; Material inputs'!$C$18/'Building &amp; Material inputs'!$C$19</f>
        <v>4.8570303340495749E-4</v>
      </c>
      <c r="AY133" s="189">
        <f>W133/'Building &amp; Material inputs'!$C$18/'Building &amp; Material inputs'!$C$19</f>
        <v>2.3943107280526074E-5</v>
      </c>
      <c r="AZ133" s="189">
        <f>X133/'Building &amp; Material inputs'!$C$18/'Building &amp; Material inputs'!$C$19</f>
        <v>3.5572616531067314E-4</v>
      </c>
      <c r="BA133" s="189">
        <f>Y133/'Building &amp; Material inputs'!$C$18/'Building &amp; Material inputs'!$C$19</f>
        <v>9.9192873019322326E-9</v>
      </c>
      <c r="BB133" s="141">
        <f>Z133/'Building &amp; Material inputs'!$C$18/'Building &amp; Material inputs'!$C$19</f>
        <v>7.4923683420594781E-3</v>
      </c>
      <c r="BC133" s="141">
        <f>AA133/'Building &amp; Material inputs'!$C$18/'Building &amp; Material inputs'!$C$19</f>
        <v>8.2409894963639263E-2</v>
      </c>
      <c r="BD133" s="141">
        <f>AB133/'Building &amp; Material inputs'!$C$18/'Building &amp; Material inputs'!$C$19</f>
        <v>4.4921829850129884E-7</v>
      </c>
      <c r="BE133" s="141">
        <f>AC133/'Building &amp; Material inputs'!$C$18/'Building &amp; Material inputs'!$C$19</f>
        <v>5.2120724105808045E-5</v>
      </c>
      <c r="BF133" s="141">
        <f>AD133/'Building &amp; Material inputs'!$C$18/'Building &amp; Material inputs'!$C$19</f>
        <v>1.0238072673152951E-5</v>
      </c>
      <c r="BG133" s="141">
        <f>AE133/'Building &amp; Material inputs'!$C$18/'Building &amp; Material inputs'!$C$19</f>
        <v>2.7921767621770065E-5</v>
      </c>
      <c r="BH133" s="141">
        <f>AF133/'Building &amp; Material inputs'!$C$18/'Building &amp; Material inputs'!$C$19</f>
        <v>9.3081679922959466E-6</v>
      </c>
      <c r="BI133" s="188">
        <f>AG133/'Building &amp; Material inputs'!$C$18/'Building &amp; Material inputs'!$C$19</f>
        <v>6.7952818758064467E-7</v>
      </c>
      <c r="BJ133" s="188">
        <f>AH133/'Building &amp; Material inputs'!$C$18/'Building &amp; Material inputs'!$C$19</f>
        <v>9.3081679922959466E-6</v>
      </c>
      <c r="BK133" s="188">
        <f>AI133/'Building &amp; Material inputs'!$C$18/'Building &amp; Material inputs'!$C$19</f>
        <v>2.5128861164894988E-11</v>
      </c>
      <c r="BL133" s="188">
        <f>AJ133/'Building &amp; Material inputs'!$C$18/'Building &amp; Material inputs'!$C$19</f>
        <v>2.9876437294233578E-6</v>
      </c>
      <c r="BM133" s="188">
        <f>AK133/'Building &amp; Material inputs'!$C$18/'Building &amp; Material inputs'!$C$19</f>
        <v>1.2192742345616471E-8</v>
      </c>
      <c r="BN133" s="188">
        <f>AL133/'Building &amp; Material inputs'!$C$18/'Building &amp; Material inputs'!$C$19</f>
        <v>5.7782698903669595E-10</v>
      </c>
      <c r="BO133" s="188">
        <f>AM133/'Building &amp; Material inputs'!$C$18/'Building &amp; Material inputs'!$C$19</f>
        <v>4.4853420972185518E-14</v>
      </c>
      <c r="BQ133" s="203" t="s">
        <v>662</v>
      </c>
      <c r="BR133" s="214">
        <f>$AP$37</f>
        <v>9.9561443068499536</v>
      </c>
      <c r="BS133" s="219">
        <f>$AR$37</f>
        <v>0.52929773345759557</v>
      </c>
      <c r="BT133" s="224">
        <f>$AT$37</f>
        <v>3.2384518874650513E-2</v>
      </c>
      <c r="BV133" s="204" t="s">
        <v>665</v>
      </c>
      <c r="BW133" s="216">
        <f>$AW$126</f>
        <v>7.8597949112031186E-4</v>
      </c>
      <c r="BX133" s="221">
        <f>$BD$126</f>
        <v>4.8486926739293193E-7</v>
      </c>
      <c r="BY133" s="226">
        <f>$BK$126</f>
        <v>4.4862115280170317E-9</v>
      </c>
      <c r="CA133" s="204" t="s">
        <v>665</v>
      </c>
      <c r="CB133" s="216">
        <f>$AZ$126</f>
        <v>7.9335028739539282E-4</v>
      </c>
      <c r="CC133" s="221">
        <f>$BG$126</f>
        <v>3.6164490565296706E-5</v>
      </c>
      <c r="CD133" s="226">
        <f>$BN$126</f>
        <v>3.090373709820841E-5</v>
      </c>
    </row>
    <row r="134" spans="2:82" ht="15.75" thickBot="1" x14ac:dyDescent="0.3">
      <c r="B134" s="334"/>
      <c r="C134" s="305"/>
      <c r="D134" s="299"/>
      <c r="E134" s="76" t="s">
        <v>221</v>
      </c>
      <c r="F134" s="76" t="s">
        <v>230</v>
      </c>
      <c r="G134" s="82" t="s">
        <v>55</v>
      </c>
      <c r="H134" s="66" t="str">
        <f>'Material quantities'!G134</f>
        <v>WP</v>
      </c>
      <c r="I134" s="38">
        <f>'Material quantities'!O134</f>
        <v>91.753407542873134</v>
      </c>
      <c r="J134" s="62" t="s">
        <v>332</v>
      </c>
      <c r="K134" s="2"/>
      <c r="L134" s="144">
        <f>VLOOKUP($H134,'Material impact data'!$E$19:$AM$61,6,0)/VLOOKUP($H134,'Material impact data'!$E$19:$AM$61,4,0)*$I134</f>
        <v>385.3643116800672</v>
      </c>
      <c r="M134" s="140">
        <f>VLOOKUP($H134,'Material impact data'!$E$19:$AM$61,'Material impact data'!M$15,0)/VLOOKUP($H134,'Material impact data'!$E$19:$AM$61,4,0)*$I134</f>
        <v>1651.5613357717164</v>
      </c>
      <c r="N134" s="140">
        <f>VLOOKUP($H134,'Material impact data'!$E$19:$AM$61,'Material impact data'!N$15,0)/VLOOKUP($H134,'Material impact data'!$E$19:$AM$61,4,0)*$I134</f>
        <v>25782.707519547352</v>
      </c>
      <c r="O134" s="185">
        <f>VLOOKUP($H134,'Material impact data'!$E$19:$AM$61,'Material impact data'!O$15,0)/VLOOKUP($H134,'Material impact data'!$E$19:$AM$61,4,0)*$I134</f>
        <v>8.7440997388358088</v>
      </c>
      <c r="P134" s="185">
        <f>VLOOKUP($H134,'Material impact data'!$E$19:$AM$61,'Material impact data'!P$15,0)/VLOOKUP($H134,'Material impact data'!$E$19:$AM$61,4,0)*$I134</f>
        <v>126.61970240916492</v>
      </c>
      <c r="Q134" s="186">
        <f>VLOOKUP($H134,'Material impact data'!$E$19:$AM$61,'Material impact data'!Q$15,0)/VLOOKUP($H134,'Material impact data'!$E$19:$AM$61,4,0)*$I134</f>
        <v>237.64132553604139</v>
      </c>
      <c r="R134" s="186">
        <f>VLOOKUP($H134,'Material impact data'!$E$19:$AM$61,'Material impact data'!R$15,0)/VLOOKUP($H134,'Material impact data'!$E$19:$AM$61,4,0)*$I134</f>
        <v>4642.7224216693803</v>
      </c>
      <c r="S134" s="140">
        <f>VLOOKUP($H134,'Material impact data'!$E$19:$AM$61,'Material impact data'!S$15,0)/VLOOKUP($H134,'Material impact data'!$E$19:$AM$61,4,0)*$I134</f>
        <v>319.30185824919852</v>
      </c>
      <c r="T134" s="140">
        <f>VLOOKUP($H134,'Material impact data'!$E$19:$AM$61,'Material impact data'!T$15,0)/VLOOKUP($H134,'Material impact data'!$E$19:$AM$61,4,0)*$I134</f>
        <v>0</v>
      </c>
      <c r="U134" s="140">
        <f>VLOOKUP($H134,'Material impact data'!$E$19:$AM$61,'Material impact data'!U$15,0)/VLOOKUP($H134,'Material impact data'!$E$19:$AM$61,4,0)*$I134</f>
        <v>0</v>
      </c>
      <c r="V134" s="140">
        <f>VLOOKUP($H134,'Material impact data'!$E$19:$AM$61,'Material impact data'!V$15,0)/VLOOKUP($H134,'Material impact data'!$E$19:$AM$61,4,0)*$I134</f>
        <v>0.6340160461212534</v>
      </c>
      <c r="W134" s="140">
        <f>VLOOKUP($H134,'Material impact data'!$E$19:$AM$61,'Material impact data'!W$15,0)/VLOOKUP($H134,'Material impact data'!$E$19:$AM$61,4,0)*$I134</f>
        <v>1.7157887210517274E-2</v>
      </c>
      <c r="X134" s="140">
        <f>VLOOKUP($H134,'Material impact data'!$E$19:$AM$61,'Material impact data'!X$15,0)/VLOOKUP($H134,'Material impact data'!$E$19:$AM$61,4,0)*$I134</f>
        <v>0.64410892095096939</v>
      </c>
      <c r="Y134" s="140">
        <f>VLOOKUP($H134,'Material impact data'!$E$19:$AM$61,'Material impact data'!Y$15,0)/VLOOKUP($H134,'Material impact data'!$E$19:$AM$61,4,0)*$I134</f>
        <v>3.7985910722749479E-6</v>
      </c>
      <c r="Z134" s="185">
        <f>VLOOKUP($H134,'Material impact data'!$E$19:$AM$61,'Material impact data'!Z$15,0)/VLOOKUP($H134,'Material impact data'!$E$19:$AM$61,4,0)*$I134</f>
        <v>9.5423543844588057</v>
      </c>
      <c r="AA134" s="185">
        <f>VLOOKUP($H134,'Material impact data'!$E$19:$AM$61,'Material impact data'!AA$15,0)/VLOOKUP($H134,'Material impact data'!$E$19:$AM$61,4,0)*$I134</f>
        <v>0</v>
      </c>
      <c r="AB134" s="185">
        <f>VLOOKUP($H134,'Material impact data'!$E$19:$AM$61,'Material impact data'!AB$15,0)/VLOOKUP($H134,'Material impact data'!$E$19:$AM$61,4,0)*$I134</f>
        <v>0</v>
      </c>
      <c r="AC134" s="185">
        <f>VLOOKUP($H134,'Material impact data'!$E$19:$AM$61,'Material impact data'!AC$15,0)/VLOOKUP($H134,'Material impact data'!$E$19:$AM$61,4,0)*$I134</f>
        <v>1.0735148682516156E-2</v>
      </c>
      <c r="AD134" s="185">
        <f>VLOOKUP($H134,'Material impact data'!$E$19:$AM$61,'Material impact data'!AD$15,0)/VLOOKUP($H134,'Material impact data'!$E$19:$AM$61,4,0)*$I134</f>
        <v>3.4315774421034548E-5</v>
      </c>
      <c r="AE134" s="185">
        <f>VLOOKUP($H134,'Material impact data'!$E$19:$AM$61,'Material impact data'!AE$15,0)/VLOOKUP($H134,'Material impact data'!$E$19:$AM$61,4,0)*$I134</f>
        <v>9.2670941618301864E-3</v>
      </c>
      <c r="AF134" s="185">
        <f>VLOOKUP($H134,'Material impact data'!$E$19:$AM$61,'Material impact data'!AF$15,0)/VLOOKUP($H134,'Material impact data'!$E$19:$AM$61,4,0)*$I134</f>
        <v>9.4506009769159324E-13</v>
      </c>
      <c r="AG134" s="186">
        <f>VLOOKUP($H134,'Material impact data'!$E$19:$AM$61,'Material impact data'!AG$15,0)/VLOOKUP($H134,'Material impact data'!$E$19:$AM$61,4,0)*$I134</f>
        <v>174.33147433145894</v>
      </c>
      <c r="AH134" s="186">
        <f>VLOOKUP($H134,'Material impact data'!$E$19:$AM$61,'Material impact data'!AH$15,0)/VLOOKUP($H134,'Material impact data'!$E$19:$AM$61,4,0)*$I134</f>
        <v>0</v>
      </c>
      <c r="AI134" s="186">
        <f>VLOOKUP($H134,'Material impact data'!$E$19:$AM$61,'Material impact data'!AI$15,0)/VLOOKUP($H134,'Material impact data'!$E$19:$AM$61,4,0)*$I134</f>
        <v>0</v>
      </c>
      <c r="AJ134" s="186">
        <f>VLOOKUP($H134,'Material impact data'!$E$19:$AM$61,'Material impact data'!AJ$15,0)/VLOOKUP($H134,'Material impact data'!$E$19:$AM$61,4,0)*$I134</f>
        <v>0.37251883462406493</v>
      </c>
      <c r="AK134" s="186">
        <f>VLOOKUP($H134,'Material impact data'!$E$19:$AM$61,'Material impact data'!AK$15,0)/VLOOKUP($H134,'Material impact data'!$E$19:$AM$61,4,0)*$I134</f>
        <v>5.2941716152237802E-3</v>
      </c>
      <c r="AL134" s="186">
        <f>VLOOKUP($H134,'Material impact data'!$E$19:$AM$61,'Material impact data'!AL$15,0)/VLOOKUP($H134,'Material impact data'!$E$19:$AM$61,4,0)*$I134</f>
        <v>0.34682788051206043</v>
      </c>
      <c r="AM134" s="186">
        <f>VLOOKUP($H134,'Material impact data'!$E$19:$AM$61,'Material impact data'!AM$15,0)/VLOOKUP($H134,'Material impact data'!$E$19:$AM$61,4,0)*$I134</f>
        <v>1.4497038391773955E-5</v>
      </c>
      <c r="AO134" s="189">
        <f>M134/'Building &amp; Material inputs'!$C$18/'Building &amp; Material inputs'!$C$19</f>
        <v>0.1282666461456754</v>
      </c>
      <c r="AP134" s="189">
        <f>N134/'Building &amp; Material inputs'!$C$18/'Building &amp; Material inputs'!$C$19</f>
        <v>2.0023848648297107</v>
      </c>
      <c r="AQ134" s="141">
        <f>O134/'Building &amp; Material inputs'!$C$18/'Building &amp; Material inputs'!$C$19</f>
        <v>6.7910063209349254E-4</v>
      </c>
      <c r="AR134" s="141">
        <f>P134/'Building &amp; Material inputs'!$C$18/'Building &amp; Material inputs'!$C$19</f>
        <v>9.8337762045017808E-3</v>
      </c>
      <c r="AS134" s="188">
        <f>Q134/'Building &amp; Material inputs'!$C$18/'Building &amp; Material inputs'!$C$19</f>
        <v>1.8456145195405515E-2</v>
      </c>
      <c r="AT134" s="188">
        <f>R134/'Building &amp; Material inputs'!$C$18/'Building &amp; Material inputs'!$C$19</f>
        <v>0.3605717941650653</v>
      </c>
      <c r="AU134" s="189">
        <f>S134/'Building &amp; Material inputs'!$C$18/'Building &amp; Material inputs'!$C$19</f>
        <v>2.4798218254830577E-2</v>
      </c>
      <c r="AV134" s="189">
        <f>T134/'Building &amp; Material inputs'!$C$18/'Building &amp; Material inputs'!$C$19</f>
        <v>0</v>
      </c>
      <c r="AW134" s="189">
        <f>U134/'Building &amp; Material inputs'!$C$18/'Building &amp; Material inputs'!$C$19</f>
        <v>0</v>
      </c>
      <c r="AX134" s="189">
        <f>V134/'Building &amp; Material inputs'!$C$18/'Building &amp; Material inputs'!$C$19</f>
        <v>4.9240140270367617E-5</v>
      </c>
      <c r="AY134" s="189">
        <f>W134/'Building &amp; Material inputs'!$C$18/'Building &amp; Material inputs'!$C$19</f>
        <v>1.33254793495785E-6</v>
      </c>
      <c r="AZ134" s="189">
        <f>X134/'Building &amp; Material inputs'!$C$18/'Building &amp; Material inputs'!$C$19</f>
        <v>5.0023991996813414E-5</v>
      </c>
      <c r="BA134" s="189">
        <f>Y134/'Building &amp; Material inputs'!$C$18/'Building &amp; Material inputs'!$C$19</f>
        <v>2.9501328613505346E-10</v>
      </c>
      <c r="BB134" s="141">
        <f>Z134/'Building &amp; Material inputs'!$C$18/'Building &amp; Material inputs'!$C$19</f>
        <v>7.4109617773056898E-4</v>
      </c>
      <c r="BC134" s="141">
        <f>AA134/'Building &amp; Material inputs'!$C$18/'Building &amp; Material inputs'!$C$19</f>
        <v>0</v>
      </c>
      <c r="BD134" s="141">
        <f>AB134/'Building &amp; Material inputs'!$C$18/'Building &amp; Material inputs'!$C$19</f>
        <v>0</v>
      </c>
      <c r="BE134" s="141">
        <f>AC134/'Building &amp; Material inputs'!$C$18/'Building &amp; Material inputs'!$C$19</f>
        <v>8.3373319994689008E-7</v>
      </c>
      <c r="BF134" s="141">
        <f>AD134/'Building &amp; Material inputs'!$C$18/'Building &amp; Material inputs'!$C$19</f>
        <v>2.6650958699156998E-9</v>
      </c>
      <c r="BG134" s="141">
        <f>AE134/'Building &amp; Material inputs'!$C$18/'Building &amp; Material inputs'!$C$19</f>
        <v>7.1971840337295646E-7</v>
      </c>
      <c r="BH134" s="141">
        <f>AF134/'Building &amp; Material inputs'!$C$18/'Building &amp; Material inputs'!$C$19</f>
        <v>7.339702529446982E-17</v>
      </c>
      <c r="BI134" s="188">
        <f>AG134/'Building &amp; Material inputs'!$C$18/'Building &amp; Material inputs'!$C$19</f>
        <v>1.3539257093154624E-2</v>
      </c>
      <c r="BJ134" s="188">
        <f>AH134/'Building &amp; Material inputs'!$C$18/'Building &amp; Material inputs'!$C$19</f>
        <v>0</v>
      </c>
      <c r="BK134" s="188">
        <f>AI134/'Building &amp; Material inputs'!$C$18/'Building &amp; Material inputs'!$C$19</f>
        <v>0</v>
      </c>
      <c r="BL134" s="188">
        <f>AJ134/'Building &amp; Material inputs'!$C$18/'Building &amp; Material inputs'!$C$19</f>
        <v>2.8931254630635673E-5</v>
      </c>
      <c r="BM134" s="188">
        <f>AK134/'Building &amp; Material inputs'!$C$18/'Building &amp; Material inputs'!$C$19</f>
        <v>4.1116586014474836E-7</v>
      </c>
      <c r="BN134" s="188">
        <f>AL134/'Building &amp; Material inputs'!$C$18/'Building &amp; Material inputs'!$C$19</f>
        <v>2.6935995690591834E-5</v>
      </c>
      <c r="BO134" s="188">
        <f>AM134/'Building &amp; Material inputs'!$C$18/'Building &amp; Material inputs'!$C$19</f>
        <v>1.1258961161675952E-9</v>
      </c>
      <c r="BQ134" s="204" t="s">
        <v>663</v>
      </c>
      <c r="BR134" s="214">
        <f>$AP$64</f>
        <v>16.897796427461945</v>
      </c>
      <c r="BS134" s="219">
        <f>$AR$64</f>
        <v>1.0146066278347312</v>
      </c>
      <c r="BT134" s="224">
        <f>$AT$64</f>
        <v>5.0619501164958069E-3</v>
      </c>
      <c r="BV134" s="47" t="s">
        <v>666</v>
      </c>
      <c r="BW134" s="217">
        <f>$AW$140</f>
        <v>9.9177000812937736E-6</v>
      </c>
      <c r="BX134" s="222">
        <f>$BD$140</f>
        <v>1.436446069524821E-6</v>
      </c>
      <c r="BY134" s="227">
        <f>$BK$140</f>
        <v>1.0953307510155766E-7</v>
      </c>
      <c r="CA134" s="47" t="s">
        <v>666</v>
      </c>
      <c r="CB134" s="217">
        <f>$AZ$140</f>
        <v>1.4228290253338043E-3</v>
      </c>
      <c r="CC134" s="222">
        <f>$BG$140</f>
        <v>8.869009682950693E-5</v>
      </c>
      <c r="CD134" s="227">
        <f>$BN$140</f>
        <v>6.9600675319183737E-5</v>
      </c>
    </row>
    <row r="135" spans="2:82" ht="15.75" thickBot="1" x14ac:dyDescent="0.3">
      <c r="B135" s="334"/>
      <c r="C135" s="305"/>
      <c r="D135" s="299"/>
      <c r="E135" s="299" t="s">
        <v>222</v>
      </c>
      <c r="F135" s="80" t="s">
        <v>231</v>
      </c>
      <c r="G135" s="66" t="s">
        <v>63</v>
      </c>
      <c r="H135" s="66" t="str">
        <f>'Material quantities'!G135</f>
        <v>CERB</v>
      </c>
      <c r="I135" s="38">
        <f>'Material quantities'!O135</f>
        <v>2835.1802930747799</v>
      </c>
      <c r="J135" s="68" t="s">
        <v>15</v>
      </c>
      <c r="K135" s="2"/>
      <c r="L135" s="144">
        <f>VLOOKUP($H135,'Material impact data'!$E$19:$AM$61,6,0)/VLOOKUP($H135,'Material impact data'!$E$19:$AM$61,4,0)*$I135</f>
        <v>1190.7757230914076</v>
      </c>
      <c r="M135" s="140">
        <f>VLOOKUP($H135,'Material impact data'!$E$19:$AM$61,'Material impact data'!M$15,0)/VLOOKUP($H135,'Material impact data'!$E$19:$AM$61,4,0)*$I135</f>
        <v>873.23553026703223</v>
      </c>
      <c r="N135" s="140">
        <f>VLOOKUP($H135,'Material impact data'!$E$19:$AM$61,'Material impact data'!N$15,0)/VLOOKUP($H135,'Material impact data'!$E$19:$AM$61,4,0)*$I135</f>
        <v>11709.294610398842</v>
      </c>
      <c r="O135" s="185">
        <f>VLOOKUP($H135,'Material impact data'!$E$19:$AM$61,'Material impact data'!O$15,0)/VLOOKUP($H135,'Material impact data'!$E$19:$AM$61,4,0)*$I135</f>
        <v>5.8121196008032978</v>
      </c>
      <c r="P135" s="185">
        <f>VLOOKUP($H135,'Material impact data'!$E$19:$AM$61,'Material impact data'!P$15,0)/VLOOKUP($H135,'Material impact data'!$E$19:$AM$61,4,0)*$I135</f>
        <v>115.95887398675849</v>
      </c>
      <c r="Q135" s="186">
        <f>VLOOKUP($H135,'Material impact data'!$E$19:$AM$61,'Material impact data'!Q$15,0)/VLOOKUP($H135,'Material impact data'!$E$19:$AM$61,4,0)*$I135</f>
        <v>2.7075971798864149</v>
      </c>
      <c r="R135" s="186">
        <f>VLOOKUP($H135,'Material impact data'!$E$19:$AM$61,'Material impact data'!R$15,0)/VLOOKUP($H135,'Material impact data'!$E$19:$AM$61,4,0)*$I135</f>
        <v>28.351802930747798</v>
      </c>
      <c r="S135" s="140">
        <f>VLOOKUP($H135,'Material impact data'!$E$19:$AM$61,'Material impact data'!S$15,0)/VLOOKUP($H135,'Material impact data'!$E$19:$AM$61,4,0)*$I135</f>
        <v>890.24661202548089</v>
      </c>
      <c r="T135" s="140">
        <f>VLOOKUP($H135,'Material impact data'!$E$19:$AM$61,'Material impact data'!T$15,0)/VLOOKUP($H135,'Material impact data'!$E$19:$AM$61,4,0)*$I135</f>
        <v>10575.222493168929</v>
      </c>
      <c r="U135" s="140">
        <f>VLOOKUP($H135,'Material impact data'!$E$19:$AM$61,'Material impact data'!U$15,0)/VLOOKUP($H135,'Material impact data'!$E$19:$AM$61,4,0)*$I135</f>
        <v>7.569931382509662E-4</v>
      </c>
      <c r="V135" s="140">
        <f>VLOOKUP($H135,'Material impact data'!$E$19:$AM$61,'Material impact data'!V$15,0)/VLOOKUP($H135,'Material impact data'!$E$19:$AM$61,4,0)*$I135</f>
        <v>2.8295099324886301</v>
      </c>
      <c r="W135" s="140">
        <f>VLOOKUP($H135,'Material impact data'!$E$19:$AM$61,'Material impact data'!W$15,0)/VLOOKUP($H135,'Material impact data'!$E$19:$AM$61,4,0)*$I135</f>
        <v>0.58404714037340466</v>
      </c>
      <c r="X135" s="140">
        <f>VLOOKUP($H135,'Material impact data'!$E$19:$AM$61,'Material impact data'!X$15,0)/VLOOKUP($H135,'Material impact data'!$E$19:$AM$61,4,0)*$I135</f>
        <v>0.14714585721058107</v>
      </c>
      <c r="Y135" s="140">
        <f>VLOOKUP($H135,'Material impact data'!$E$19:$AM$61,'Material impact data'!Y$15,0)/VLOOKUP($H135,'Material impact data'!$E$19:$AM$61,4,0)*$I135</f>
        <v>1.4346012282958388E-6</v>
      </c>
      <c r="Z135" s="185">
        <f>VLOOKUP($H135,'Material impact data'!$E$19:$AM$61,'Material impact data'!Z$15,0)/VLOOKUP($H135,'Material impact data'!$E$19:$AM$61,4,0)*$I135</f>
        <v>8.3637818645706012</v>
      </c>
      <c r="AA135" s="185">
        <f>VLOOKUP($H135,'Material impact data'!$E$19:$AM$61,'Material impact data'!AA$15,0)/VLOOKUP($H135,'Material impact data'!$E$19:$AM$61,4,0)*$I135</f>
        <v>115.675355957451</v>
      </c>
      <c r="AB135" s="185">
        <f>VLOOKUP($H135,'Material impact data'!$E$19:$AM$61,'Material impact data'!AB$15,0)/VLOOKUP($H135,'Material impact data'!$E$19:$AM$61,4,0)*$I135</f>
        <v>6.7193772945872291E-7</v>
      </c>
      <c r="AC135" s="185">
        <f>VLOOKUP($H135,'Material impact data'!$E$19:$AM$61,'Material impact data'!AC$15,0)/VLOOKUP($H135,'Material impact data'!$E$19:$AM$61,4,0)*$I135</f>
        <v>3.5156235634127272E-2</v>
      </c>
      <c r="AD135" s="185">
        <f>VLOOKUP($H135,'Material impact data'!$E$19:$AM$61,'Material impact data'!AD$15,0)/VLOOKUP($H135,'Material impact data'!$E$19:$AM$61,4,0)*$I135</f>
        <v>8.7323553026703218E-3</v>
      </c>
      <c r="AE135" s="185">
        <f>VLOOKUP($H135,'Material impact data'!$E$19:$AM$61,'Material impact data'!AE$15,0)/VLOOKUP($H135,'Material impact data'!$E$19:$AM$61,4,0)*$I135</f>
        <v>-1.2843366727628753E-2</v>
      </c>
      <c r="AF135" s="185">
        <f>VLOOKUP($H135,'Material impact data'!$E$19:$AM$61,'Material impact data'!AF$15,0)/VLOOKUP($H135,'Material impact data'!$E$19:$AM$61,4,0)*$I135</f>
        <v>2.8068284901440323E-12</v>
      </c>
      <c r="AG135" s="186">
        <f>VLOOKUP($H135,'Material impact data'!$E$19:$AM$61,'Material impact data'!AG$15,0)/VLOOKUP($H135,'Material impact data'!$E$19:$AM$61,4,0)*$I135</f>
        <v>6.6626736887257332</v>
      </c>
      <c r="AH135" s="186">
        <f>VLOOKUP($H135,'Material impact data'!$E$19:$AM$61,'Material impact data'!AH$15,0)/VLOOKUP($H135,'Material impact data'!$E$19:$AM$61,4,0)*$I135</f>
        <v>27.671359660409852</v>
      </c>
      <c r="AI135" s="186">
        <f>VLOOKUP($H135,'Material impact data'!$E$19:$AM$61,'Material impact data'!AI$15,0)/VLOOKUP($H135,'Material impact data'!$E$19:$AM$61,4,0)*$I135</f>
        <v>5.7554159949418036E-7</v>
      </c>
      <c r="AJ135" s="186">
        <f>VLOOKUP($H135,'Material impact data'!$E$19:$AM$61,'Material impact data'!AJ$15,0)/VLOOKUP($H135,'Material impact data'!$E$19:$AM$61,4,0)*$I135</f>
        <v>1.1312369369368372E-2</v>
      </c>
      <c r="AK135" s="186">
        <f>VLOOKUP($H135,'Material impact data'!$E$19:$AM$61,'Material impact data'!AK$15,0)/VLOOKUP($H135,'Material impact data'!$E$19:$AM$61,4,0)*$I135</f>
        <v>1.8712189934293549E-3</v>
      </c>
      <c r="AL135" s="186">
        <f>VLOOKUP($H135,'Material impact data'!$E$19:$AM$61,'Material impact data'!AL$15,0)/VLOOKUP($H135,'Material impact data'!$E$19:$AM$61,4,0)*$I135</f>
        <v>-3.7707897897894574E-4</v>
      </c>
      <c r="AM135" s="186">
        <f>VLOOKUP($H135,'Material impact data'!$E$19:$AM$61,'Material impact data'!AM$15,0)/VLOOKUP($H135,'Material impact data'!$E$19:$AM$61,4,0)*$I135</f>
        <v>2.2397924315290758E-12</v>
      </c>
      <c r="AO135" s="189">
        <f>M135/'Building &amp; Material inputs'!$C$18/'Building &amp; Material inputs'!$C$19</f>
        <v>6.7818851372090108E-2</v>
      </c>
      <c r="AP135" s="189">
        <f>N135/'Building &amp; Material inputs'!$C$18/'Building &amp; Material inputs'!$C$19</f>
        <v>0.90938914339848109</v>
      </c>
      <c r="AQ135" s="141">
        <f>O135/'Building &amp; Material inputs'!$C$18/'Building &amp; Material inputs'!$C$19</f>
        <v>4.5139170556098929E-4</v>
      </c>
      <c r="AR135" s="141">
        <f>P135/'Building &amp; Material inputs'!$C$18/'Building &amp; Material inputs'!$C$19</f>
        <v>9.0058150036314462E-3</v>
      </c>
      <c r="AS135" s="188">
        <f>Q135/'Building &amp; Material inputs'!$C$18/'Building &amp; Material inputs'!$C$19</f>
        <v>2.1028247746865603E-4</v>
      </c>
      <c r="AT135" s="188">
        <f>R135/'Building &amp; Material inputs'!$C$18/'Building &amp; Material inputs'!$C$19</f>
        <v>2.2019107588340946E-3</v>
      </c>
      <c r="AU135" s="189">
        <f>S135/'Building &amp; Material inputs'!$C$18/'Building &amp; Material inputs'!$C$19</f>
        <v>6.9139997827390567E-2</v>
      </c>
      <c r="AV135" s="189">
        <f>T135/'Building &amp; Material inputs'!$C$18/'Building &amp; Material inputs'!$C$19</f>
        <v>0.82131271304511733</v>
      </c>
      <c r="AW135" s="189">
        <f>U135/'Building &amp; Material inputs'!$C$18/'Building &amp; Material inputs'!$C$19</f>
        <v>5.8791017260870328E-8</v>
      </c>
      <c r="AX135" s="189">
        <f>V135/'Building &amp; Material inputs'!$C$18/'Building &amp; Material inputs'!$C$19</f>
        <v>2.1975069373164264E-4</v>
      </c>
      <c r="AY135" s="189">
        <f>W135/'Building &amp; Material inputs'!$C$18/'Building &amp; Material inputs'!$C$19</f>
        <v>4.5359361631982346E-5</v>
      </c>
      <c r="AZ135" s="189">
        <f>X135/'Building &amp; Material inputs'!$C$18/'Building &amp; Material inputs'!$C$19</f>
        <v>1.142791683834895E-5</v>
      </c>
      <c r="BA135" s="189">
        <f>Y135/'Building &amp; Material inputs'!$C$18/'Building &amp; Material inputs'!$C$19</f>
        <v>1.1141668439700518E-10</v>
      </c>
      <c r="BB135" s="141">
        <f>Z135/'Building &amp; Material inputs'!$C$18/'Building &amp; Material inputs'!$C$19</f>
        <v>6.49563673856058E-4</v>
      </c>
      <c r="BC135" s="141">
        <f>AA135/'Building &amp; Material inputs'!$C$18/'Building &amp; Material inputs'!$C$19</f>
        <v>8.9837958960431036E-3</v>
      </c>
      <c r="BD135" s="141">
        <f>AB135/'Building &amp; Material inputs'!$C$18/'Building &amp; Material inputs'!$C$19</f>
        <v>5.2185284984368046E-11</v>
      </c>
      <c r="BE135" s="141">
        <f>AC135/'Building &amp; Material inputs'!$C$18/'Building &amp; Material inputs'!$C$19</f>
        <v>2.7303693409542774E-6</v>
      </c>
      <c r="BF135" s="141">
        <f>AD135/'Building &amp; Material inputs'!$C$18/'Building &amp; Material inputs'!$C$19</f>
        <v>6.7818851372090103E-7</v>
      </c>
      <c r="BG135" s="141">
        <f>AE135/'Building &amp; Material inputs'!$C$18/'Building &amp; Material inputs'!$C$19</f>
        <v>-9.9746557375184479E-7</v>
      </c>
      <c r="BH135" s="141">
        <f>AF135/'Building &amp; Material inputs'!$C$18/'Building &amp; Material inputs'!$C$19</f>
        <v>2.1798916512457538E-16</v>
      </c>
      <c r="BI135" s="188">
        <f>AG135/'Building &amp; Material inputs'!$C$18/'Building &amp; Material inputs'!$C$19</f>
        <v>5.1744902832601223E-4</v>
      </c>
      <c r="BJ135" s="188">
        <f>AH135/'Building &amp; Material inputs'!$C$18/'Building &amp; Material inputs'!$C$19</f>
        <v>2.1490649006220765E-3</v>
      </c>
      <c r="BK135" s="188">
        <f>AI135/'Building &amp; Material inputs'!$C$18/'Building &amp; Material inputs'!$C$19</f>
        <v>4.4698788404332122E-11</v>
      </c>
      <c r="BL135" s="188">
        <f>AJ135/'Building &amp; Material inputs'!$C$18/'Building &amp; Material inputs'!$C$19</f>
        <v>8.785623927748038E-7</v>
      </c>
      <c r="BM135" s="188">
        <f>AK135/'Building &amp; Material inputs'!$C$18/'Building &amp; Material inputs'!$C$19</f>
        <v>1.4532611008305025E-7</v>
      </c>
      <c r="BN135" s="188">
        <f>AL135/'Building &amp; Material inputs'!$C$18/'Building &amp; Material inputs'!$C$19</f>
        <v>-2.928541309249346E-8</v>
      </c>
      <c r="BO135" s="188">
        <f>AM135/'Building &amp; Material inputs'!$C$18/'Building &amp; Material inputs'!$C$19</f>
        <v>1.7395094994789344E-16</v>
      </c>
      <c r="BQ135" s="204" t="s">
        <v>664</v>
      </c>
      <c r="BR135" s="214">
        <f>$AP$108</f>
        <v>32.839667429403825</v>
      </c>
      <c r="BS135" s="219">
        <f>$AR$108</f>
        <v>1.03917419157347</v>
      </c>
      <c r="BT135" s="224">
        <f>$AT$108</f>
        <v>2.5421827263252452</v>
      </c>
    </row>
    <row r="136" spans="2:82" ht="15.75" thickBot="1" x14ac:dyDescent="0.3">
      <c r="B136" s="334"/>
      <c r="C136" s="305"/>
      <c r="D136" s="299"/>
      <c r="E136" s="299"/>
      <c r="F136" s="76" t="s">
        <v>232</v>
      </c>
      <c r="G136" s="60" t="s">
        <v>220</v>
      </c>
      <c r="H136" s="66" t="str">
        <f>'Material quantities'!G136</f>
        <v>PLYW</v>
      </c>
      <c r="I136" s="38">
        <f>'Material quantities'!O136</f>
        <v>0</v>
      </c>
      <c r="J136" s="62" t="s">
        <v>14</v>
      </c>
      <c r="K136" s="2"/>
      <c r="L136" s="144">
        <f>VLOOKUP($H136,'Material impact data'!$E$19:$AM$61,6,0)/VLOOKUP($H136,'Material impact data'!$E$19:$AM$61,4,0)*$I136</f>
        <v>0</v>
      </c>
      <c r="M136" s="140">
        <f>VLOOKUP($H136,'Material impact data'!$E$19:$AM$61,'Material impact data'!M$15,0)/VLOOKUP($H136,'Material impact data'!$E$19:$AM$61,4,0)*$I136</f>
        <v>0</v>
      </c>
      <c r="N136" s="140">
        <f>VLOOKUP($H136,'Material impact data'!$E$19:$AM$61,'Material impact data'!N$15,0)/VLOOKUP($H136,'Material impact data'!$E$19:$AM$61,4,0)*$I136</f>
        <v>0</v>
      </c>
      <c r="O136" s="185">
        <f>VLOOKUP($H136,'Material impact data'!$E$19:$AM$61,'Material impact data'!O$15,0)/VLOOKUP($H136,'Material impact data'!$E$19:$AM$61,4,0)*$I136</f>
        <v>0</v>
      </c>
      <c r="P136" s="185">
        <f>VLOOKUP($H136,'Material impact data'!$E$19:$AM$61,'Material impact data'!P$15,0)/VLOOKUP($H136,'Material impact data'!$E$19:$AM$61,4,0)*$I136</f>
        <v>0</v>
      </c>
      <c r="Q136" s="186">
        <f>VLOOKUP($H136,'Material impact data'!$E$19:$AM$61,'Material impact data'!Q$15,0)/VLOOKUP($H136,'Material impact data'!$E$19:$AM$61,4,0)*$I136</f>
        <v>0</v>
      </c>
      <c r="R136" s="186">
        <f>VLOOKUP($H136,'Material impact data'!$E$19:$AM$61,'Material impact data'!R$15,0)/VLOOKUP($H136,'Material impact data'!$E$19:$AM$61,4,0)*$I136</f>
        <v>0</v>
      </c>
      <c r="S136" s="140">
        <f>VLOOKUP($H136,'Material impact data'!$E$19:$AM$61,'Material impact data'!S$15,0)/VLOOKUP($H136,'Material impact data'!$E$19:$AM$61,4,0)*$I136</f>
        <v>0</v>
      </c>
      <c r="T136" s="140">
        <f>VLOOKUP($H136,'Material impact data'!$E$19:$AM$61,'Material impact data'!T$15,0)/VLOOKUP($H136,'Material impact data'!$E$19:$AM$61,4,0)*$I136</f>
        <v>0</v>
      </c>
      <c r="U136" s="140">
        <f>VLOOKUP($H136,'Material impact data'!$E$19:$AM$61,'Material impact data'!U$15,0)/VLOOKUP($H136,'Material impact data'!$E$19:$AM$61,4,0)*$I136</f>
        <v>0</v>
      </c>
      <c r="V136" s="140">
        <f>VLOOKUP($H136,'Material impact data'!$E$19:$AM$61,'Material impact data'!V$15,0)/VLOOKUP($H136,'Material impact data'!$E$19:$AM$61,4,0)*$I136</f>
        <v>0</v>
      </c>
      <c r="W136" s="140">
        <f>VLOOKUP($H136,'Material impact data'!$E$19:$AM$61,'Material impact data'!W$15,0)/VLOOKUP($H136,'Material impact data'!$E$19:$AM$61,4,0)*$I136</f>
        <v>0</v>
      </c>
      <c r="X136" s="140">
        <f>VLOOKUP($H136,'Material impact data'!$E$19:$AM$61,'Material impact data'!X$15,0)/VLOOKUP($H136,'Material impact data'!$E$19:$AM$61,4,0)*$I136</f>
        <v>0</v>
      </c>
      <c r="Y136" s="140">
        <f>VLOOKUP($H136,'Material impact data'!$E$19:$AM$61,'Material impact data'!Y$15,0)/VLOOKUP($H136,'Material impact data'!$E$19:$AM$61,4,0)*$I136</f>
        <v>0</v>
      </c>
      <c r="Z136" s="185">
        <f>VLOOKUP($H136,'Material impact data'!$E$19:$AM$61,'Material impact data'!Z$15,0)/VLOOKUP($H136,'Material impact data'!$E$19:$AM$61,4,0)*$I136</f>
        <v>0</v>
      </c>
      <c r="AA136" s="185">
        <f>VLOOKUP($H136,'Material impact data'!$E$19:$AM$61,'Material impact data'!AA$15,0)/VLOOKUP($H136,'Material impact data'!$E$19:$AM$61,4,0)*$I136</f>
        <v>0</v>
      </c>
      <c r="AB136" s="185">
        <f>VLOOKUP($H136,'Material impact data'!$E$19:$AM$61,'Material impact data'!AB$15,0)/VLOOKUP($H136,'Material impact data'!$E$19:$AM$61,4,0)*$I136</f>
        <v>0</v>
      </c>
      <c r="AC136" s="185">
        <f>VLOOKUP($H136,'Material impact data'!$E$19:$AM$61,'Material impact data'!AC$15,0)/VLOOKUP($H136,'Material impact data'!$E$19:$AM$61,4,0)*$I136</f>
        <v>0</v>
      </c>
      <c r="AD136" s="185">
        <f>VLOOKUP($H136,'Material impact data'!$E$19:$AM$61,'Material impact data'!AD$15,0)/VLOOKUP($H136,'Material impact data'!$E$19:$AM$61,4,0)*$I136</f>
        <v>0</v>
      </c>
      <c r="AE136" s="185">
        <f>VLOOKUP($H136,'Material impact data'!$E$19:$AM$61,'Material impact data'!AE$15,0)/VLOOKUP($H136,'Material impact data'!$E$19:$AM$61,4,0)*$I136</f>
        <v>0</v>
      </c>
      <c r="AF136" s="185">
        <f>VLOOKUP($H136,'Material impact data'!$E$19:$AM$61,'Material impact data'!AF$15,0)/VLOOKUP($H136,'Material impact data'!$E$19:$AM$61,4,0)*$I136</f>
        <v>0</v>
      </c>
      <c r="AG136" s="186">
        <f>VLOOKUP($H136,'Material impact data'!$E$19:$AM$61,'Material impact data'!AG$15,0)/VLOOKUP($H136,'Material impact data'!$E$19:$AM$61,4,0)*$I136</f>
        <v>0</v>
      </c>
      <c r="AH136" s="186">
        <f>VLOOKUP($H136,'Material impact data'!$E$19:$AM$61,'Material impact data'!AH$15,0)/VLOOKUP($H136,'Material impact data'!$E$19:$AM$61,4,0)*$I136</f>
        <v>0</v>
      </c>
      <c r="AI136" s="186">
        <f>VLOOKUP($H136,'Material impact data'!$E$19:$AM$61,'Material impact data'!AI$15,0)/VLOOKUP($H136,'Material impact data'!$E$19:$AM$61,4,0)*$I136</f>
        <v>0</v>
      </c>
      <c r="AJ136" s="186">
        <f>VLOOKUP($H136,'Material impact data'!$E$19:$AM$61,'Material impact data'!AJ$15,0)/VLOOKUP($H136,'Material impact data'!$E$19:$AM$61,4,0)*$I136</f>
        <v>0</v>
      </c>
      <c r="AK136" s="186">
        <f>VLOOKUP($H136,'Material impact data'!$E$19:$AM$61,'Material impact data'!AK$15,0)/VLOOKUP($H136,'Material impact data'!$E$19:$AM$61,4,0)*$I136</f>
        <v>0</v>
      </c>
      <c r="AL136" s="186">
        <f>VLOOKUP($H136,'Material impact data'!$E$19:$AM$61,'Material impact data'!AL$15,0)/VLOOKUP($H136,'Material impact data'!$E$19:$AM$61,4,0)*$I136</f>
        <v>0</v>
      </c>
      <c r="AM136" s="186">
        <f>VLOOKUP($H136,'Material impact data'!$E$19:$AM$61,'Material impact data'!AM$15,0)/VLOOKUP($H136,'Material impact data'!$E$19:$AM$61,4,0)*$I136</f>
        <v>0</v>
      </c>
      <c r="AO136" s="189">
        <f>M136/'Building &amp; Material inputs'!$C$18/'Building &amp; Material inputs'!$C$19</f>
        <v>0</v>
      </c>
      <c r="AP136" s="189">
        <f>N136/'Building &amp; Material inputs'!$C$18/'Building &amp; Material inputs'!$C$19</f>
        <v>0</v>
      </c>
      <c r="AQ136" s="141">
        <f>O136/'Building &amp; Material inputs'!$C$18/'Building &amp; Material inputs'!$C$19</f>
        <v>0</v>
      </c>
      <c r="AR136" s="141">
        <f>P136/'Building &amp; Material inputs'!$C$18/'Building &amp; Material inputs'!$C$19</f>
        <v>0</v>
      </c>
      <c r="AS136" s="188">
        <f>Q136/'Building &amp; Material inputs'!$C$18/'Building &amp; Material inputs'!$C$19</f>
        <v>0</v>
      </c>
      <c r="AT136" s="188">
        <f>R136/'Building &amp; Material inputs'!$C$18/'Building &amp; Material inputs'!$C$19</f>
        <v>0</v>
      </c>
      <c r="AU136" s="189">
        <f>S136/'Building &amp; Material inputs'!$C$18/'Building &amp; Material inputs'!$C$19</f>
        <v>0</v>
      </c>
      <c r="AV136" s="189">
        <f>T136/'Building &amp; Material inputs'!$C$18/'Building &amp; Material inputs'!$C$19</f>
        <v>0</v>
      </c>
      <c r="AW136" s="189">
        <f>U136/'Building &amp; Material inputs'!$C$18/'Building &amp; Material inputs'!$C$19</f>
        <v>0</v>
      </c>
      <c r="AX136" s="189">
        <f>V136/'Building &amp; Material inputs'!$C$18/'Building &amp; Material inputs'!$C$19</f>
        <v>0</v>
      </c>
      <c r="AY136" s="189">
        <f>W136/'Building &amp; Material inputs'!$C$18/'Building &amp; Material inputs'!$C$19</f>
        <v>0</v>
      </c>
      <c r="AZ136" s="189">
        <f>X136/'Building &amp; Material inputs'!$C$18/'Building &amp; Material inputs'!$C$19</f>
        <v>0</v>
      </c>
      <c r="BA136" s="189">
        <f>Y136/'Building &amp; Material inputs'!$C$18/'Building &amp; Material inputs'!$C$19</f>
        <v>0</v>
      </c>
      <c r="BB136" s="141">
        <f>Z136/'Building &amp; Material inputs'!$C$18/'Building &amp; Material inputs'!$C$19</f>
        <v>0</v>
      </c>
      <c r="BC136" s="141">
        <f>AA136/'Building &amp; Material inputs'!$C$18/'Building &amp; Material inputs'!$C$19</f>
        <v>0</v>
      </c>
      <c r="BD136" s="141">
        <f>AB136/'Building &amp; Material inputs'!$C$18/'Building &amp; Material inputs'!$C$19</f>
        <v>0</v>
      </c>
      <c r="BE136" s="141">
        <f>AC136/'Building &amp; Material inputs'!$C$18/'Building &amp; Material inputs'!$C$19</f>
        <v>0</v>
      </c>
      <c r="BF136" s="141">
        <f>AD136/'Building &amp; Material inputs'!$C$18/'Building &amp; Material inputs'!$C$19</f>
        <v>0</v>
      </c>
      <c r="BG136" s="141">
        <f>AE136/'Building &amp; Material inputs'!$C$18/'Building &amp; Material inputs'!$C$19</f>
        <v>0</v>
      </c>
      <c r="BH136" s="141">
        <f>AF136/'Building &amp; Material inputs'!$C$18/'Building &amp; Material inputs'!$C$19</f>
        <v>0</v>
      </c>
      <c r="BI136" s="188">
        <f>AG136/'Building &amp; Material inputs'!$C$18/'Building &amp; Material inputs'!$C$19</f>
        <v>0</v>
      </c>
      <c r="BJ136" s="188">
        <f>AH136/'Building &amp; Material inputs'!$C$18/'Building &amp; Material inputs'!$C$19</f>
        <v>0</v>
      </c>
      <c r="BK136" s="188">
        <f>AI136/'Building &amp; Material inputs'!$C$18/'Building &amp; Material inputs'!$C$19</f>
        <v>0</v>
      </c>
      <c r="BL136" s="188">
        <f>AJ136/'Building &amp; Material inputs'!$C$18/'Building &amp; Material inputs'!$C$19</f>
        <v>0</v>
      </c>
      <c r="BM136" s="188">
        <f>AK136/'Building &amp; Material inputs'!$C$18/'Building &amp; Material inputs'!$C$19</f>
        <v>0</v>
      </c>
      <c r="BN136" s="188">
        <f>AL136/'Building &amp; Material inputs'!$C$18/'Building &amp; Material inputs'!$C$19</f>
        <v>0</v>
      </c>
      <c r="BO136" s="188">
        <f>AM136/'Building &amp; Material inputs'!$C$18/'Building &amp; Material inputs'!$C$19</f>
        <v>0</v>
      </c>
      <c r="BQ136" s="204" t="s">
        <v>665</v>
      </c>
      <c r="BR136" s="214">
        <f>$AP$126</f>
        <v>34.195285876362888</v>
      </c>
      <c r="BS136" s="219">
        <f>$AR$126</f>
        <v>0.90065254534016781</v>
      </c>
      <c r="BT136" s="224">
        <f>$AT$126</f>
        <v>0.25840522042211705</v>
      </c>
      <c r="CA136" s="354" t="s">
        <v>613</v>
      </c>
      <c r="CB136" s="300" t="s">
        <v>659</v>
      </c>
      <c r="CC136" s="335"/>
      <c r="CD136" s="301"/>
    </row>
    <row r="137" spans="2:82" ht="15.75" thickBot="1" x14ac:dyDescent="0.3">
      <c r="B137" s="334"/>
      <c r="C137" s="305"/>
      <c r="D137" s="299"/>
      <c r="E137" s="299" t="s">
        <v>223</v>
      </c>
      <c r="F137" s="80" t="s">
        <v>233</v>
      </c>
      <c r="G137" s="81" t="s">
        <v>58</v>
      </c>
      <c r="H137" s="66" t="str">
        <f>'Material quantities'!G137</f>
        <v>CERB</v>
      </c>
      <c r="I137" s="38">
        <f>'Material quantities'!O137</f>
        <v>1979.190338147728</v>
      </c>
      <c r="J137" s="68" t="s">
        <v>15</v>
      </c>
      <c r="K137" s="2"/>
      <c r="L137" s="144">
        <f>VLOOKUP($H137,'Material impact data'!$E$19:$AM$61,6,0)/VLOOKUP($H137,'Material impact data'!$E$19:$AM$61,4,0)*$I137</f>
        <v>831.25994202204572</v>
      </c>
      <c r="M137" s="140">
        <f>VLOOKUP($H137,'Material impact data'!$E$19:$AM$61,'Material impact data'!M$15,0)/VLOOKUP($H137,'Material impact data'!$E$19:$AM$61,4,0)*$I137</f>
        <v>609.59062414950017</v>
      </c>
      <c r="N137" s="140">
        <f>VLOOKUP($H137,'Material impact data'!$E$19:$AM$61,'Material impact data'!N$15,0)/VLOOKUP($H137,'Material impact data'!$E$19:$AM$61,4,0)*$I137</f>
        <v>8174.0560965501163</v>
      </c>
      <c r="O137" s="185">
        <f>VLOOKUP($H137,'Material impact data'!$E$19:$AM$61,'Material impact data'!O$15,0)/VLOOKUP($H137,'Material impact data'!$E$19:$AM$61,4,0)*$I137</f>
        <v>4.0573401932028421</v>
      </c>
      <c r="P137" s="185">
        <f>VLOOKUP($H137,'Material impact data'!$E$19:$AM$61,'Material impact data'!P$15,0)/VLOOKUP($H137,'Material impact data'!$E$19:$AM$61,4,0)*$I137</f>
        <v>80.948884830242065</v>
      </c>
      <c r="Q137" s="186">
        <f>VLOOKUP($H137,'Material impact data'!$E$19:$AM$61,'Material impact data'!Q$15,0)/VLOOKUP($H137,'Material impact data'!$E$19:$AM$61,4,0)*$I137</f>
        <v>1.8901267729310802</v>
      </c>
      <c r="R137" s="186">
        <f>VLOOKUP($H137,'Material impact data'!$E$19:$AM$61,'Material impact data'!R$15,0)/VLOOKUP($H137,'Material impact data'!$E$19:$AM$61,4,0)*$I137</f>
        <v>19.79190338147728</v>
      </c>
      <c r="S137" s="140">
        <f>VLOOKUP($H137,'Material impact data'!$E$19:$AM$61,'Material impact data'!S$15,0)/VLOOKUP($H137,'Material impact data'!$E$19:$AM$61,4,0)*$I137</f>
        <v>621.46576617838662</v>
      </c>
      <c r="T137" s="140">
        <f>VLOOKUP($H137,'Material impact data'!$E$19:$AM$61,'Material impact data'!T$15,0)/VLOOKUP($H137,'Material impact data'!$E$19:$AM$61,4,0)*$I137</f>
        <v>7382.3799612910252</v>
      </c>
      <c r="U137" s="140">
        <f>VLOOKUP($H137,'Material impact data'!$E$19:$AM$61,'Material impact data'!U$15,0)/VLOOKUP($H137,'Material impact data'!$E$19:$AM$61,4,0)*$I137</f>
        <v>5.2844382028544338E-4</v>
      </c>
      <c r="V137" s="140">
        <f>VLOOKUP($H137,'Material impact data'!$E$19:$AM$61,'Material impact data'!V$15,0)/VLOOKUP($H137,'Material impact data'!$E$19:$AM$61,4,0)*$I137</f>
        <v>1.9752319574714325</v>
      </c>
      <c r="W137" s="140">
        <f>VLOOKUP($H137,'Material impact data'!$E$19:$AM$61,'Material impact data'!W$15,0)/VLOOKUP($H137,'Material impact data'!$E$19:$AM$61,4,0)*$I137</f>
        <v>0.40771320965843194</v>
      </c>
      <c r="X137" s="140">
        <f>VLOOKUP($H137,'Material impact data'!$E$19:$AM$61,'Material impact data'!X$15,0)/VLOOKUP($H137,'Material impact data'!$E$19:$AM$61,4,0)*$I137</f>
        <v>0.10271997854986709</v>
      </c>
      <c r="Y137" s="140">
        <f>VLOOKUP($H137,'Material impact data'!$E$19:$AM$61,'Material impact data'!Y$15,0)/VLOOKUP($H137,'Material impact data'!$E$19:$AM$61,4,0)*$I137</f>
        <v>1.0014703111027504E-6</v>
      </c>
      <c r="Z137" s="185">
        <f>VLOOKUP($H137,'Material impact data'!$E$19:$AM$61,'Material impact data'!Z$15,0)/VLOOKUP($H137,'Material impact data'!$E$19:$AM$61,4,0)*$I137</f>
        <v>5.8386114975357986</v>
      </c>
      <c r="AA137" s="185">
        <f>VLOOKUP($H137,'Material impact data'!$E$19:$AM$61,'Material impact data'!AA$15,0)/VLOOKUP($H137,'Material impact data'!$E$19:$AM$61,4,0)*$I137</f>
        <v>80.750965796427295</v>
      </c>
      <c r="AB137" s="185">
        <f>VLOOKUP($H137,'Material impact data'!$E$19:$AM$61,'Material impact data'!AB$15,0)/VLOOKUP($H137,'Material impact data'!$E$19:$AM$61,4,0)*$I137</f>
        <v>4.6906811014101153E-7</v>
      </c>
      <c r="AC137" s="185">
        <f>VLOOKUP($H137,'Material impact data'!$E$19:$AM$61,'Material impact data'!AC$15,0)/VLOOKUP($H137,'Material impact data'!$E$19:$AM$61,4,0)*$I137</f>
        <v>2.4541960193031828E-2</v>
      </c>
      <c r="AD137" s="185">
        <f>VLOOKUP($H137,'Material impact data'!$E$19:$AM$61,'Material impact data'!AD$15,0)/VLOOKUP($H137,'Material impact data'!$E$19:$AM$61,4,0)*$I137</f>
        <v>6.0959062414950018E-3</v>
      </c>
      <c r="AE137" s="185">
        <f>VLOOKUP($H137,'Material impact data'!$E$19:$AM$61,'Material impact data'!AE$15,0)/VLOOKUP($H137,'Material impact data'!$E$19:$AM$61,4,0)*$I137</f>
        <v>-8.9657322318092078E-3</v>
      </c>
      <c r="AF137" s="185">
        <f>VLOOKUP($H137,'Material impact data'!$E$19:$AM$61,'Material impact data'!AF$15,0)/VLOOKUP($H137,'Material impact data'!$E$19:$AM$61,4,0)*$I137</f>
        <v>1.9593984347662511E-12</v>
      </c>
      <c r="AG137" s="186">
        <f>VLOOKUP($H137,'Material impact data'!$E$19:$AM$61,'Material impact data'!AG$15,0)/VLOOKUP($H137,'Material impact data'!$E$19:$AM$61,4,0)*$I137</f>
        <v>4.6510972946471609</v>
      </c>
      <c r="AH137" s="186">
        <f>VLOOKUP($H137,'Material impact data'!$E$19:$AM$61,'Material impact data'!AH$15,0)/VLOOKUP($H137,'Material impact data'!$E$19:$AM$61,4,0)*$I137</f>
        <v>19.316897700321825</v>
      </c>
      <c r="AI137" s="186">
        <f>VLOOKUP($H137,'Material impact data'!$E$19:$AM$61,'Material impact data'!AI$15,0)/VLOOKUP($H137,'Material impact data'!$E$19:$AM$61,4,0)*$I137</f>
        <v>4.0177563864398877E-7</v>
      </c>
      <c r="AJ137" s="186">
        <f>VLOOKUP($H137,'Material impact data'!$E$19:$AM$61,'Material impact data'!AJ$15,0)/VLOOKUP($H137,'Material impact data'!$E$19:$AM$61,4,0)*$I137</f>
        <v>7.8969694492094338E-3</v>
      </c>
      <c r="AK137" s="186">
        <f>VLOOKUP($H137,'Material impact data'!$E$19:$AM$61,'Material impact data'!AK$15,0)/VLOOKUP($H137,'Material impact data'!$E$19:$AM$61,4,0)*$I137</f>
        <v>1.3062656231775005E-3</v>
      </c>
      <c r="AL137" s="186">
        <f>VLOOKUP($H137,'Material impact data'!$E$19:$AM$61,'Material impact data'!AL$15,0)/VLOOKUP($H137,'Material impact data'!$E$19:$AM$61,4,0)*$I137</f>
        <v>-2.6323231497364782E-4</v>
      </c>
      <c r="AM137" s="186">
        <f>VLOOKUP($H137,'Material impact data'!$E$19:$AM$61,'Material impact data'!AM$15,0)/VLOOKUP($H137,'Material impact data'!$E$19:$AM$61,4,0)*$I137</f>
        <v>1.5635603671367048E-12</v>
      </c>
      <c r="AO137" s="189">
        <f>M137/'Building &amp; Material inputs'!$C$18/'Building &amp; Material inputs'!$C$19</f>
        <v>4.7343167454916138E-2</v>
      </c>
      <c r="AP137" s="189">
        <f>N137/'Building &amp; Material inputs'!$C$18/'Building &amp; Material inputs'!$C$19</f>
        <v>0.63482883632728471</v>
      </c>
      <c r="AQ137" s="141">
        <f>O137/'Building &amp; Material inputs'!$C$18/'Building &amp; Material inputs'!$C$19</f>
        <v>3.151087444239548E-4</v>
      </c>
      <c r="AR137" s="141">
        <f>P137/'Building &amp; Material inputs'!$C$18/'Building &amp; Material inputs'!$C$19</f>
        <v>6.2868037302145127E-3</v>
      </c>
      <c r="AS137" s="188">
        <f>Q137/'Building &amp; Material inputs'!$C$18/'Building &amp; Material inputs'!$C$19</f>
        <v>1.467945614267692E-4</v>
      </c>
      <c r="AT137" s="188">
        <f>R137/'Building &amp; Material inputs'!$C$18/'Building &amp; Material inputs'!$C$19</f>
        <v>1.5371158264583162E-3</v>
      </c>
      <c r="AU137" s="189">
        <f>S137/'Building &amp; Material inputs'!$C$18/'Building &amp; Material inputs'!$C$19</f>
        <v>4.8265436950791135E-2</v>
      </c>
      <c r="AV137" s="189">
        <f>T137/'Building &amp; Material inputs'!$C$18/'Building &amp; Material inputs'!$C$19</f>
        <v>0.57334420326895197</v>
      </c>
      <c r="AW137" s="189">
        <f>U137/'Building &amp; Material inputs'!$C$18/'Building &amp; Material inputs'!$C$19</f>
        <v>4.1040992566437045E-8</v>
      </c>
      <c r="AX137" s="189">
        <f>V137/'Building &amp; Material inputs'!$C$18/'Building &amp; Material inputs'!$C$19</f>
        <v>1.5340415948053999E-4</v>
      </c>
      <c r="AY137" s="189">
        <f>W137/'Building &amp; Material inputs'!$C$18/'Building &amp; Material inputs'!$C$19</f>
        <v>3.166458602504132E-5</v>
      </c>
      <c r="AZ137" s="189">
        <f>X137/'Building &amp; Material inputs'!$C$18/'Building &amp; Material inputs'!$C$19</f>
        <v>7.9776311393186623E-6</v>
      </c>
      <c r="BA137" s="189">
        <f>Y137/'Building &amp; Material inputs'!$C$18/'Building &amp; Material inputs'!$C$19</f>
        <v>7.777806081879081E-11</v>
      </c>
      <c r="BB137" s="141">
        <f>Z137/'Building &amp; Material inputs'!$C$18/'Building &amp; Material inputs'!$C$19</f>
        <v>4.5344916880520341E-4</v>
      </c>
      <c r="BC137" s="141">
        <f>AA137/'Building &amp; Material inputs'!$C$18/'Building &amp; Material inputs'!$C$19</f>
        <v>6.2714325719499297E-3</v>
      </c>
      <c r="BD137" s="141">
        <f>AB137/'Building &amp; Material inputs'!$C$18/'Building &amp; Material inputs'!$C$19</f>
        <v>3.6429645087062096E-11</v>
      </c>
      <c r="BE137" s="141">
        <f>AC137/'Building &amp; Material inputs'!$C$18/'Building &amp; Material inputs'!$C$19</f>
        <v>1.9060236248083125E-6</v>
      </c>
      <c r="BF137" s="141">
        <f>AD137/'Building &amp; Material inputs'!$C$18/'Building &amp; Material inputs'!$C$19</f>
        <v>4.7343167454916143E-7</v>
      </c>
      <c r="BG137" s="141">
        <f>AE137/'Building &amp; Material inputs'!$C$18/'Building &amp; Material inputs'!$C$19</f>
        <v>-6.9631346938561731E-7</v>
      </c>
      <c r="BH137" s="141">
        <f>AF137/'Building &amp; Material inputs'!$C$18/'Building &amp; Material inputs'!$C$19</f>
        <v>1.5217446681937335E-16</v>
      </c>
      <c r="BI137" s="188">
        <f>AG137/'Building &amp; Material inputs'!$C$18/'Building &amp; Material inputs'!$C$19</f>
        <v>3.6122221921770434E-4</v>
      </c>
      <c r="BJ137" s="188">
        <f>AH137/'Building &amp; Material inputs'!$C$18/'Building &amp; Material inputs'!$C$19</f>
        <v>1.5002250466233165E-3</v>
      </c>
      <c r="BK137" s="188">
        <f>AI137/'Building &amp; Material inputs'!$C$18/'Building &amp; Material inputs'!$C$19</f>
        <v>3.120345127710382E-11</v>
      </c>
      <c r="BL137" s="188">
        <f>AJ137/'Building &amp; Material inputs'!$C$18/'Building &amp; Material inputs'!$C$19</f>
        <v>6.1330921475686808E-7</v>
      </c>
      <c r="BM137" s="188">
        <f>AK137/'Building &amp; Material inputs'!$C$18/'Building &amp; Material inputs'!$C$19</f>
        <v>1.0144964454624889E-7</v>
      </c>
      <c r="BN137" s="188">
        <f>AL137/'Building &amp; Material inputs'!$C$18/'Building &amp; Material inputs'!$C$19</f>
        <v>-2.0443640491895606E-8</v>
      </c>
      <c r="BO137" s="188">
        <f>AM137/'Building &amp; Material inputs'!$C$18/'Building &amp; Material inputs'!$C$19</f>
        <v>1.2143215029020695E-16</v>
      </c>
      <c r="BQ137" s="47" t="s">
        <v>666</v>
      </c>
      <c r="BR137" s="215">
        <f>$AP$140</f>
        <v>15.802309935395838</v>
      </c>
      <c r="BS137" s="220">
        <f>$AR$140</f>
        <v>0.19488619735413124</v>
      </c>
      <c r="BT137" s="225">
        <f>$AT$140</f>
        <v>1.0532720865647707</v>
      </c>
      <c r="CA137" s="355"/>
      <c r="CB137" s="213" t="s">
        <v>39</v>
      </c>
      <c r="CC137" s="218" t="s">
        <v>660</v>
      </c>
      <c r="CD137" s="223" t="s">
        <v>661</v>
      </c>
    </row>
    <row r="138" spans="2:82" x14ac:dyDescent="0.25">
      <c r="B138" s="334"/>
      <c r="C138" s="305"/>
      <c r="D138" s="299"/>
      <c r="E138" s="299"/>
      <c r="F138" s="76" t="s">
        <v>234</v>
      </c>
      <c r="G138" s="82" t="s">
        <v>108</v>
      </c>
      <c r="H138" s="66" t="str">
        <f>'Material quantities'!G138</f>
        <v>GLT</v>
      </c>
      <c r="I138" s="38">
        <f>'Material quantities'!O138</f>
        <v>0</v>
      </c>
      <c r="J138" s="62" t="s">
        <v>14</v>
      </c>
      <c r="K138" s="2"/>
      <c r="L138" s="144">
        <f>VLOOKUP($H138,'Material impact data'!$E$19:$AM$61,6,0)/VLOOKUP($H138,'Material impact data'!$E$19:$AM$61,4,0)*$I138</f>
        <v>0</v>
      </c>
      <c r="M138" s="140">
        <f>VLOOKUP($H138,'Material impact data'!$E$19:$AM$61,'Material impact data'!M$15,0)/VLOOKUP($H138,'Material impact data'!$E$19:$AM$61,4,0)*$I138</f>
        <v>0</v>
      </c>
      <c r="N138" s="140">
        <f>VLOOKUP($H138,'Material impact data'!$E$19:$AM$61,'Material impact data'!N$15,0)/VLOOKUP($H138,'Material impact data'!$E$19:$AM$61,4,0)*$I138</f>
        <v>0</v>
      </c>
      <c r="O138" s="185">
        <f>VLOOKUP($H138,'Material impact data'!$E$19:$AM$61,'Material impact data'!O$15,0)/VLOOKUP($H138,'Material impact data'!$E$19:$AM$61,4,0)*$I138</f>
        <v>0</v>
      </c>
      <c r="P138" s="185">
        <f>VLOOKUP($H138,'Material impact data'!$E$19:$AM$61,'Material impact data'!P$15,0)/VLOOKUP($H138,'Material impact data'!$E$19:$AM$61,4,0)*$I138</f>
        <v>0</v>
      </c>
      <c r="Q138" s="186">
        <f>VLOOKUP($H138,'Material impact data'!$E$19:$AM$61,'Material impact data'!Q$15,0)/VLOOKUP($H138,'Material impact data'!$E$19:$AM$61,4,0)*$I138</f>
        <v>0</v>
      </c>
      <c r="R138" s="186">
        <f>VLOOKUP($H138,'Material impact data'!$E$19:$AM$61,'Material impact data'!R$15,0)/VLOOKUP($H138,'Material impact data'!$E$19:$AM$61,4,0)*$I138</f>
        <v>0</v>
      </c>
      <c r="S138" s="140">
        <f>VLOOKUP($H138,'Material impact data'!$E$19:$AM$61,'Material impact data'!S$15,0)/VLOOKUP($H138,'Material impact data'!$E$19:$AM$61,4,0)*$I138</f>
        <v>0</v>
      </c>
      <c r="T138" s="140">
        <f>VLOOKUP($H138,'Material impact data'!$E$19:$AM$61,'Material impact data'!T$15,0)/VLOOKUP($H138,'Material impact data'!$E$19:$AM$61,4,0)*$I138</f>
        <v>0</v>
      </c>
      <c r="U138" s="140">
        <f>VLOOKUP($H138,'Material impact data'!$E$19:$AM$61,'Material impact data'!U$15,0)/VLOOKUP($H138,'Material impact data'!$E$19:$AM$61,4,0)*$I138</f>
        <v>0</v>
      </c>
      <c r="V138" s="140">
        <f>VLOOKUP($H138,'Material impact data'!$E$19:$AM$61,'Material impact data'!V$15,0)/VLOOKUP($H138,'Material impact data'!$E$19:$AM$61,4,0)*$I138</f>
        <v>0</v>
      </c>
      <c r="W138" s="140">
        <f>VLOOKUP($H138,'Material impact data'!$E$19:$AM$61,'Material impact data'!W$15,0)/VLOOKUP($H138,'Material impact data'!$E$19:$AM$61,4,0)*$I138</f>
        <v>0</v>
      </c>
      <c r="X138" s="140">
        <f>VLOOKUP($H138,'Material impact data'!$E$19:$AM$61,'Material impact data'!X$15,0)/VLOOKUP($H138,'Material impact data'!$E$19:$AM$61,4,0)*$I138</f>
        <v>0</v>
      </c>
      <c r="Y138" s="140">
        <f>VLOOKUP($H138,'Material impact data'!$E$19:$AM$61,'Material impact data'!Y$15,0)/VLOOKUP($H138,'Material impact data'!$E$19:$AM$61,4,0)*$I138</f>
        <v>0</v>
      </c>
      <c r="Z138" s="185">
        <f>VLOOKUP($H138,'Material impact data'!$E$19:$AM$61,'Material impact data'!Z$15,0)/VLOOKUP($H138,'Material impact data'!$E$19:$AM$61,4,0)*$I138</f>
        <v>0</v>
      </c>
      <c r="AA138" s="185">
        <f>VLOOKUP($H138,'Material impact data'!$E$19:$AM$61,'Material impact data'!AA$15,0)/VLOOKUP($H138,'Material impact data'!$E$19:$AM$61,4,0)*$I138</f>
        <v>0</v>
      </c>
      <c r="AB138" s="185">
        <f>VLOOKUP($H138,'Material impact data'!$E$19:$AM$61,'Material impact data'!AB$15,0)/VLOOKUP($H138,'Material impact data'!$E$19:$AM$61,4,0)*$I138</f>
        <v>0</v>
      </c>
      <c r="AC138" s="185">
        <f>VLOOKUP($H138,'Material impact data'!$E$19:$AM$61,'Material impact data'!AC$15,0)/VLOOKUP($H138,'Material impact data'!$E$19:$AM$61,4,0)*$I138</f>
        <v>0</v>
      </c>
      <c r="AD138" s="185">
        <f>VLOOKUP($H138,'Material impact data'!$E$19:$AM$61,'Material impact data'!AD$15,0)/VLOOKUP($H138,'Material impact data'!$E$19:$AM$61,4,0)*$I138</f>
        <v>0</v>
      </c>
      <c r="AE138" s="185">
        <f>VLOOKUP($H138,'Material impact data'!$E$19:$AM$61,'Material impact data'!AE$15,0)/VLOOKUP($H138,'Material impact data'!$E$19:$AM$61,4,0)*$I138</f>
        <v>0</v>
      </c>
      <c r="AF138" s="185">
        <f>VLOOKUP($H138,'Material impact data'!$E$19:$AM$61,'Material impact data'!AF$15,0)/VLOOKUP($H138,'Material impact data'!$E$19:$AM$61,4,0)*$I138</f>
        <v>0</v>
      </c>
      <c r="AG138" s="186">
        <f>VLOOKUP($H138,'Material impact data'!$E$19:$AM$61,'Material impact data'!AG$15,0)/VLOOKUP($H138,'Material impact data'!$E$19:$AM$61,4,0)*$I138</f>
        <v>0</v>
      </c>
      <c r="AH138" s="186">
        <f>VLOOKUP($H138,'Material impact data'!$E$19:$AM$61,'Material impact data'!AH$15,0)/VLOOKUP($H138,'Material impact data'!$E$19:$AM$61,4,0)*$I138</f>
        <v>0</v>
      </c>
      <c r="AI138" s="186">
        <f>VLOOKUP($H138,'Material impact data'!$E$19:$AM$61,'Material impact data'!AI$15,0)/VLOOKUP($H138,'Material impact data'!$E$19:$AM$61,4,0)*$I138</f>
        <v>0</v>
      </c>
      <c r="AJ138" s="186">
        <f>VLOOKUP($H138,'Material impact data'!$E$19:$AM$61,'Material impact data'!AJ$15,0)/VLOOKUP($H138,'Material impact data'!$E$19:$AM$61,4,0)*$I138</f>
        <v>0</v>
      </c>
      <c r="AK138" s="186">
        <f>VLOOKUP($H138,'Material impact data'!$E$19:$AM$61,'Material impact data'!AK$15,0)/VLOOKUP($H138,'Material impact data'!$E$19:$AM$61,4,0)*$I138</f>
        <v>0</v>
      </c>
      <c r="AL138" s="186">
        <f>VLOOKUP($H138,'Material impact data'!$E$19:$AM$61,'Material impact data'!AL$15,0)/VLOOKUP($H138,'Material impact data'!$E$19:$AM$61,4,0)*$I138</f>
        <v>0</v>
      </c>
      <c r="AM138" s="186">
        <f>VLOOKUP($H138,'Material impact data'!$E$19:$AM$61,'Material impact data'!AM$15,0)/VLOOKUP($H138,'Material impact data'!$E$19:$AM$61,4,0)*$I138</f>
        <v>0</v>
      </c>
      <c r="AO138" s="189">
        <f>M138/'Building &amp; Material inputs'!$C$18/'Building &amp; Material inputs'!$C$19</f>
        <v>0</v>
      </c>
      <c r="AP138" s="189">
        <f>N138/'Building &amp; Material inputs'!$C$18/'Building &amp; Material inputs'!$C$19</f>
        <v>0</v>
      </c>
      <c r="AQ138" s="141">
        <f>O138/'Building &amp; Material inputs'!$C$18/'Building &amp; Material inputs'!$C$19</f>
        <v>0</v>
      </c>
      <c r="AR138" s="141">
        <f>P138/'Building &amp; Material inputs'!$C$18/'Building &amp; Material inputs'!$C$19</f>
        <v>0</v>
      </c>
      <c r="AS138" s="188">
        <f>Q138/'Building &amp; Material inputs'!$C$18/'Building &amp; Material inputs'!$C$19</f>
        <v>0</v>
      </c>
      <c r="AT138" s="188">
        <f>R138/'Building &amp; Material inputs'!$C$18/'Building &amp; Material inputs'!$C$19</f>
        <v>0</v>
      </c>
      <c r="AU138" s="189">
        <f>S138/'Building &amp; Material inputs'!$C$18/'Building &amp; Material inputs'!$C$19</f>
        <v>0</v>
      </c>
      <c r="AV138" s="189">
        <f>T138/'Building &amp; Material inputs'!$C$18/'Building &amp; Material inputs'!$C$19</f>
        <v>0</v>
      </c>
      <c r="AW138" s="189">
        <f>U138/'Building &amp; Material inputs'!$C$18/'Building &amp; Material inputs'!$C$19</f>
        <v>0</v>
      </c>
      <c r="AX138" s="189">
        <f>V138/'Building &amp; Material inputs'!$C$18/'Building &amp; Material inputs'!$C$19</f>
        <v>0</v>
      </c>
      <c r="AY138" s="189">
        <f>W138/'Building &amp; Material inputs'!$C$18/'Building &amp; Material inputs'!$C$19</f>
        <v>0</v>
      </c>
      <c r="AZ138" s="189">
        <f>X138/'Building &amp; Material inputs'!$C$18/'Building &amp; Material inputs'!$C$19</f>
        <v>0</v>
      </c>
      <c r="BA138" s="189">
        <f>Y138/'Building &amp; Material inputs'!$C$18/'Building &amp; Material inputs'!$C$19</f>
        <v>0</v>
      </c>
      <c r="BB138" s="141">
        <f>Z138/'Building &amp; Material inputs'!$C$18/'Building &amp; Material inputs'!$C$19</f>
        <v>0</v>
      </c>
      <c r="BC138" s="141">
        <f>AA138/'Building &amp; Material inputs'!$C$18/'Building &amp; Material inputs'!$C$19</f>
        <v>0</v>
      </c>
      <c r="BD138" s="141">
        <f>AB138/'Building &amp; Material inputs'!$C$18/'Building &amp; Material inputs'!$C$19</f>
        <v>0</v>
      </c>
      <c r="BE138" s="141">
        <f>AC138/'Building &amp; Material inputs'!$C$18/'Building &amp; Material inputs'!$C$19</f>
        <v>0</v>
      </c>
      <c r="BF138" s="141">
        <f>AD138/'Building &amp; Material inputs'!$C$18/'Building &amp; Material inputs'!$C$19</f>
        <v>0</v>
      </c>
      <c r="BG138" s="141">
        <f>AE138/'Building &amp; Material inputs'!$C$18/'Building &amp; Material inputs'!$C$19</f>
        <v>0</v>
      </c>
      <c r="BH138" s="141">
        <f>AF138/'Building &amp; Material inputs'!$C$18/'Building &amp; Material inputs'!$C$19</f>
        <v>0</v>
      </c>
      <c r="BI138" s="188">
        <f>AG138/'Building &amp; Material inputs'!$C$18/'Building &amp; Material inputs'!$C$19</f>
        <v>0</v>
      </c>
      <c r="BJ138" s="188">
        <f>AH138/'Building &amp; Material inputs'!$C$18/'Building &amp; Material inputs'!$C$19</f>
        <v>0</v>
      </c>
      <c r="BK138" s="188">
        <f>AI138/'Building &amp; Material inputs'!$C$18/'Building &amp; Material inputs'!$C$19</f>
        <v>0</v>
      </c>
      <c r="BL138" s="188">
        <f>AJ138/'Building &amp; Material inputs'!$C$18/'Building &amp; Material inputs'!$C$19</f>
        <v>0</v>
      </c>
      <c r="BM138" s="188">
        <f>AK138/'Building &amp; Material inputs'!$C$18/'Building &amp; Material inputs'!$C$19</f>
        <v>0</v>
      </c>
      <c r="BN138" s="188">
        <f>AL138/'Building &amp; Material inputs'!$C$18/'Building &amp; Material inputs'!$C$19</f>
        <v>0</v>
      </c>
      <c r="BO138" s="188">
        <f>AM138/'Building &amp; Material inputs'!$C$18/'Building &amp; Material inputs'!$C$19</f>
        <v>0</v>
      </c>
      <c r="CA138" s="203" t="s">
        <v>662</v>
      </c>
      <c r="CB138" s="216">
        <f>$BA$37</f>
        <v>3.6630013506057782E-8</v>
      </c>
      <c r="CC138" s="221">
        <f>$BH$37</f>
        <v>2.963685329714874E-9</v>
      </c>
      <c r="CD138" s="226">
        <f>$BO$37</f>
        <v>3.4565327306465752E-10</v>
      </c>
    </row>
    <row r="139" spans="2:82" ht="15.75" thickBot="1" x14ac:dyDescent="0.3">
      <c r="B139" s="334"/>
      <c r="C139" s="305"/>
      <c r="D139" s="299"/>
      <c r="E139" s="76" t="s">
        <v>224</v>
      </c>
      <c r="F139" s="76" t="s">
        <v>235</v>
      </c>
      <c r="G139" s="78" t="s">
        <v>57</v>
      </c>
      <c r="H139" s="66" t="str">
        <f>'Material quantities'!G139</f>
        <v>MWOOL</v>
      </c>
      <c r="I139" s="38">
        <f>'Material quantities'!O139</f>
        <v>4.3109999999999999</v>
      </c>
      <c r="J139" s="62" t="s">
        <v>14</v>
      </c>
      <c r="K139" s="2"/>
      <c r="L139" s="144">
        <f>VLOOKUP($H139,'Material impact data'!$E$19:$AM$61,6,0)/VLOOKUP($H139,'Material impact data'!$E$19:$AM$61,4,0)*$I139</f>
        <v>416.01150000000001</v>
      </c>
      <c r="M139" s="140">
        <f>VLOOKUP($H139,'Material impact data'!$E$19:$AM$61,'Material impact data'!M$15,0)/VLOOKUP($H139,'Material impact data'!$E$19:$AM$61,4,0)*$I139</f>
        <v>1892.0979</v>
      </c>
      <c r="N139" s="140">
        <f>VLOOKUP($H139,'Material impact data'!$E$19:$AM$61,'Material impact data'!N$15,0)/VLOOKUP($H139,'Material impact data'!$E$19:$AM$61,4,0)*$I139</f>
        <v>9048.7890000000007</v>
      </c>
      <c r="O139" s="185">
        <f>VLOOKUP($H139,'Material impact data'!$E$19:$AM$61,'Material impact data'!O$15,0)/VLOOKUP($H139,'Material impact data'!$E$19:$AM$61,4,0)*$I139</f>
        <v>10.937006999999999</v>
      </c>
      <c r="P139" s="185">
        <f>VLOOKUP($H139,'Material impact data'!$E$19:$AM$61,'Material impact data'!P$15,0)/VLOOKUP($H139,'Material impact data'!$E$19:$AM$61,4,0)*$I139</f>
        <v>189.89954999999998</v>
      </c>
      <c r="Q139" s="186">
        <f>VLOOKUP($H139,'Material impact data'!$E$19:$AM$61,'Material impact data'!Q$15,0)/VLOOKUP($H139,'Material impact data'!$E$19:$AM$61,4,0)*$I139</f>
        <v>41.148494999999997</v>
      </c>
      <c r="R139" s="186">
        <f>VLOOKUP($H139,'Material impact data'!$E$19:$AM$61,'Material impact data'!R$15,0)/VLOOKUP($H139,'Material impact data'!$E$19:$AM$61,4,0)*$I139</f>
        <v>202.44456</v>
      </c>
      <c r="S139" s="140">
        <f>VLOOKUP($H139,'Material impact data'!$E$19:$AM$61,'Material impact data'!S$15,0)/VLOOKUP($H139,'Material impact data'!$E$19:$AM$61,4,0)*$I139</f>
        <v>747.52740000000006</v>
      </c>
      <c r="T139" s="140">
        <f>VLOOKUP($H139,'Material impact data'!$E$19:$AM$61,'Material impact data'!T$15,0)/VLOOKUP($H139,'Material impact data'!$E$19:$AM$61,4,0)*$I139</f>
        <v>8540.0910000000003</v>
      </c>
      <c r="U139" s="140">
        <f>VLOOKUP($H139,'Material impact data'!$E$19:$AM$61,'Material impact data'!U$15,0)/VLOOKUP($H139,'Material impact data'!$E$19:$AM$61,4,0)*$I139</f>
        <v>1.6498197E-4</v>
      </c>
      <c r="V139" s="140">
        <f>VLOOKUP($H139,'Material impact data'!$E$19:$AM$61,'Material impact data'!V$15,0)/VLOOKUP($H139,'Material impact data'!$E$19:$AM$61,4,0)*$I139</f>
        <v>4.3756649999999997</v>
      </c>
      <c r="W139" s="140">
        <f>VLOOKUP($H139,'Material impact data'!$E$19:$AM$61,'Material impact data'!W$15,0)/VLOOKUP($H139,'Material impact data'!$E$19:$AM$61,4,0)*$I139</f>
        <v>0.59966010000000003</v>
      </c>
      <c r="X139" s="140">
        <f>VLOOKUP($H139,'Material impact data'!$E$19:$AM$61,'Material impact data'!X$15,0)/VLOOKUP($H139,'Material impact data'!$E$19:$AM$61,4,0)*$I139</f>
        <v>0.25848756000000001</v>
      </c>
      <c r="Y139" s="140">
        <f>VLOOKUP($H139,'Material impact data'!$E$19:$AM$61,'Material impact data'!Y$15,0)/VLOOKUP($H139,'Material impact data'!$E$19:$AM$61,4,0)*$I139</f>
        <v>2.3960537999999998E-9</v>
      </c>
      <c r="Z139" s="185">
        <f>VLOOKUP($H139,'Material impact data'!$E$19:$AM$61,'Material impact data'!Z$15,0)/VLOOKUP($H139,'Material impact data'!$E$19:$AM$61,4,0)*$I139</f>
        <v>13.967640000000001</v>
      </c>
      <c r="AA139" s="185">
        <f>VLOOKUP($H139,'Material impact data'!$E$19:$AM$61,'Material impact data'!AA$15,0)/VLOOKUP($H139,'Material impact data'!$E$19:$AM$61,4,0)*$I139</f>
        <v>187.95959999999999</v>
      </c>
      <c r="AB139" s="185">
        <f>VLOOKUP($H139,'Material impact data'!$E$19:$AM$61,'Material impact data'!AB$15,0)/VLOOKUP($H139,'Material impact data'!$E$19:$AM$61,4,0)*$I139</f>
        <v>1.1484504E-6</v>
      </c>
      <c r="AC139" s="185">
        <f>VLOOKUP($H139,'Material impact data'!$E$19:$AM$61,'Material impact data'!AC$15,0)/VLOOKUP($H139,'Material impact data'!$E$19:$AM$61,4,0)*$I139</f>
        <v>2.0658312000000002E-2</v>
      </c>
      <c r="AD139" s="185">
        <f>VLOOKUP($H139,'Material impact data'!$E$19:$AM$61,'Material impact data'!AD$15,0)/VLOOKUP($H139,'Material impact data'!$E$19:$AM$61,4,0)*$I139</f>
        <v>4.5006839999999996E-3</v>
      </c>
      <c r="AE139" s="185">
        <f>VLOOKUP($H139,'Material impact data'!$E$19:$AM$61,'Material impact data'!AE$15,0)/VLOOKUP($H139,'Material impact data'!$E$19:$AM$61,4,0)*$I139</f>
        <v>-4.6343249999999999E-3</v>
      </c>
      <c r="AF139" s="185">
        <f>VLOOKUP($H139,'Material impact data'!$E$19:$AM$61,'Material impact data'!AF$15,0)/VLOOKUP($H139,'Material impact data'!$E$19:$AM$61,4,0)*$I139</f>
        <v>3.4681994999999999E-15</v>
      </c>
      <c r="AG139" s="186">
        <f>VLOOKUP($H139,'Material impact data'!$E$19:$AM$61,'Material impact data'!AG$15,0)/VLOOKUP($H139,'Material impact data'!$E$19:$AM$61,4,0)*$I139</f>
        <v>95.445540000000008</v>
      </c>
      <c r="AH139" s="186">
        <f>VLOOKUP($H139,'Material impact data'!$E$19:$AM$61,'Material impact data'!AH$15,0)/VLOOKUP($H139,'Material impact data'!$E$19:$AM$61,4,0)*$I139</f>
        <v>189.98577</v>
      </c>
      <c r="AI139" s="186">
        <f>VLOOKUP($H139,'Material impact data'!$E$19:$AM$61,'Material impact data'!AI$15,0)/VLOOKUP($H139,'Material impact data'!$E$19:$AM$61,4,0)*$I139</f>
        <v>3.4802702999999998E-6</v>
      </c>
      <c r="AJ139" s="186">
        <f>VLOOKUP($H139,'Material impact data'!$E$19:$AM$61,'Material impact data'!AJ$15,0)/VLOOKUP($H139,'Material impact data'!$E$19:$AM$61,4,0)*$I139</f>
        <v>9.5661090000000004E-2</v>
      </c>
      <c r="AK139" s="186">
        <f>VLOOKUP($H139,'Material impact data'!$E$19:$AM$61,'Material impact data'!AK$15,0)/VLOOKUP($H139,'Material impact data'!$E$19:$AM$61,4,0)*$I139</f>
        <v>1.3640004000000001E-2</v>
      </c>
      <c r="AL139" s="186">
        <f>VLOOKUP($H139,'Material impact data'!$E$19:$AM$61,'Material impact data'!AL$15,0)/VLOOKUP($H139,'Material impact data'!$E$19:$AM$61,4,0)*$I139</f>
        <v>5.7293190000000001E-3</v>
      </c>
      <c r="AM139" s="186">
        <f>VLOOKUP($H139,'Material impact data'!$E$19:$AM$61,'Material impact data'!AM$15,0)/VLOOKUP($H139,'Material impact data'!$E$19:$AM$61,4,0)*$I139</f>
        <v>4.7938319999999998E-11</v>
      </c>
      <c r="AO139" s="189">
        <f>M139/'Building &amp; Material inputs'!$C$18/'Building &amp; Material inputs'!$C$19</f>
        <v>0.14694764678471575</v>
      </c>
      <c r="AP139" s="189">
        <f>N139/'Building &amp; Material inputs'!$C$18/'Building &amp; Material inputs'!$C$19</f>
        <v>0.70276397949673819</v>
      </c>
      <c r="AQ139" s="141">
        <f>O139/'Building &amp; Material inputs'!$C$18/'Building &amp; Material inputs'!$C$19</f>
        <v>8.4941029822926386E-4</v>
      </c>
      <c r="AR139" s="141">
        <f>P139/'Building &amp; Material inputs'!$C$18/'Building &amp; Material inputs'!$C$19</f>
        <v>1.474833410997204E-2</v>
      </c>
      <c r="AS139" s="188">
        <f>Q139/'Building &amp; Material inputs'!$C$18/'Building &amp; Material inputs'!$C$19</f>
        <v>3.1957513979496738E-3</v>
      </c>
      <c r="AT139" s="188">
        <f>R139/'Building &amp; Material inputs'!$C$18/'Building &amp; Material inputs'!$C$19</f>
        <v>1.5722628145386768E-2</v>
      </c>
      <c r="AU139" s="189">
        <f>S139/'Building &amp; Material inputs'!$C$18/'Building &amp; Material inputs'!$C$19</f>
        <v>5.8055871388630019E-2</v>
      </c>
      <c r="AV139" s="189">
        <f>T139/'Building &amp; Material inputs'!$C$18/'Building &amp; Material inputs'!$C$19</f>
        <v>0.66325652376514455</v>
      </c>
      <c r="AW139" s="189">
        <f>U139/'Building &amp; Material inputs'!$C$18/'Building &amp; Material inputs'!$C$19</f>
        <v>1.2813138397017709E-8</v>
      </c>
      <c r="AX139" s="189">
        <f>V139/'Building &amp; Material inputs'!$C$18/'Building &amp; Material inputs'!$C$19</f>
        <v>3.3983108108108111E-4</v>
      </c>
      <c r="AY139" s="189">
        <f>W139/'Building &amp; Material inputs'!$C$18/'Building &amp; Material inputs'!$C$19</f>
        <v>4.6571924510717614E-5</v>
      </c>
      <c r="AZ139" s="189">
        <f>X139/'Building &amp; Material inputs'!$C$18/'Building &amp; Material inputs'!$C$19</f>
        <v>2.007514445479963E-5</v>
      </c>
      <c r="BA139" s="189">
        <f>Y139/'Building &amp; Material inputs'!$C$18/'Building &amp; Material inputs'!$C$19</f>
        <v>1.8608681267474372E-13</v>
      </c>
      <c r="BB139" s="141">
        <f>Z139/'Building &amp; Material inputs'!$C$18/'Building &amp; Material inputs'!$C$19</f>
        <v>1.0847809878844364E-3</v>
      </c>
      <c r="BC139" s="141">
        <f>AA139/'Building &amp; Material inputs'!$C$18/'Building &amp; Material inputs'!$C$19</f>
        <v>1.4597670083876982E-2</v>
      </c>
      <c r="BD139" s="141">
        <f>AB139/'Building &amp; Material inputs'!$C$18/'Building &amp; Material inputs'!$C$19</f>
        <v>8.9193103448275856E-11</v>
      </c>
      <c r="BE139" s="141">
        <f>AC139/'Building &amp; Material inputs'!$C$18/'Building &amp; Material inputs'!$C$19</f>
        <v>1.6044044734389565E-6</v>
      </c>
      <c r="BF139" s="141">
        <f>AD139/'Building &amp; Material inputs'!$C$18/'Building &amp; Material inputs'!$C$19</f>
        <v>3.4954054054054053E-7</v>
      </c>
      <c r="BG139" s="141">
        <f>AE139/'Building &amp; Material inputs'!$C$18/'Building &amp; Material inputs'!$C$19</f>
        <v>-3.5991961789375586E-7</v>
      </c>
      <c r="BH139" s="141">
        <f>AF139/'Building &amp; Material inputs'!$C$18/'Building &amp; Material inputs'!$C$19</f>
        <v>2.6935379776328057E-19</v>
      </c>
      <c r="BI139" s="188">
        <f>AG139/'Building &amp; Material inputs'!$C$18/'Building &amp; Material inputs'!$C$19</f>
        <v>7.4126700838769823E-3</v>
      </c>
      <c r="BJ139" s="188">
        <f>AH139/'Building &amp; Material inputs'!$C$18/'Building &amp; Material inputs'!$C$19</f>
        <v>1.47550302889096E-2</v>
      </c>
      <c r="BK139" s="188">
        <f>AI139/'Building &amp; Material inputs'!$C$18/'Building &amp; Material inputs'!$C$19</f>
        <v>2.7029126281453868E-10</v>
      </c>
      <c r="BL139" s="188">
        <f>AJ139/'Building &amp; Material inputs'!$C$18/'Building &amp; Material inputs'!$C$19</f>
        <v>7.4294105312208771E-6</v>
      </c>
      <c r="BM139" s="188">
        <f>AK139/'Building &amp; Material inputs'!$C$18/'Building &amp; Material inputs'!$C$19</f>
        <v>1.0593355079217149E-6</v>
      </c>
      <c r="BN139" s="188">
        <f>AL139/'Building &amp; Material inputs'!$C$18/'Building &amp; Material inputs'!$C$19</f>
        <v>4.449610904007456E-7</v>
      </c>
      <c r="BO139" s="188">
        <f>AM139/'Building &amp; Material inputs'!$C$18/'Building &amp; Material inputs'!$C$19</f>
        <v>3.7230754892823856E-15</v>
      </c>
      <c r="CA139" s="204" t="s">
        <v>663</v>
      </c>
      <c r="CB139" s="216">
        <f>$BA$64</f>
        <v>7.1890802420006212E-8</v>
      </c>
      <c r="CC139" s="221">
        <f>$BH$64</f>
        <v>6.7393822981243782E-9</v>
      </c>
      <c r="CD139" s="226">
        <f>$BO$64</f>
        <v>4.8176174862317497E-11</v>
      </c>
    </row>
    <row r="140" spans="2:82" ht="15.75" thickBot="1" x14ac:dyDescent="0.3">
      <c r="B140" s="334"/>
      <c r="C140" s="306"/>
      <c r="D140" s="365" t="s">
        <v>612</v>
      </c>
      <c r="E140" s="366"/>
      <c r="F140" s="366"/>
      <c r="G140" s="366"/>
      <c r="H140" s="366"/>
      <c r="I140" s="366"/>
      <c r="J140" s="367"/>
      <c r="K140" s="130"/>
      <c r="L140" s="142">
        <f>SUM(L127:L139)</f>
        <v>22345.175722452772</v>
      </c>
      <c r="M140" s="201">
        <f>SUM(M127:M139)</f>
        <v>24581.757821761705</v>
      </c>
      <c r="N140" s="201">
        <f t="shared" ref="N140:AK140" si="9">SUM(N127:N139)</f>
        <v>203470.54272815675</v>
      </c>
      <c r="O140" s="201">
        <f t="shared" si="9"/>
        <v>75.437650651357529</v>
      </c>
      <c r="P140" s="201">
        <f t="shared" si="9"/>
        <v>2509.3546771317938</v>
      </c>
      <c r="Q140" s="201">
        <f t="shared" si="9"/>
        <v>994.83837437962529</v>
      </c>
      <c r="R140" s="201">
        <f t="shared" si="9"/>
        <v>13561.931386607986</v>
      </c>
      <c r="S140" s="201">
        <f t="shared" si="9"/>
        <v>12688.680576023826</v>
      </c>
      <c r="T140" s="201">
        <f t="shared" si="9"/>
        <v>132614.69139855239</v>
      </c>
      <c r="U140" s="201">
        <f t="shared" si="9"/>
        <v>0.12770030624673864</v>
      </c>
      <c r="V140" s="201">
        <f t="shared" si="9"/>
        <v>58.317226592788849</v>
      </c>
      <c r="W140" s="201">
        <f t="shared" si="9"/>
        <v>5.5816093957386137</v>
      </c>
      <c r="X140" s="201">
        <f t="shared" si="9"/>
        <v>18.320346530198055</v>
      </c>
      <c r="Y140" s="201">
        <f t="shared" si="9"/>
        <v>6.9237941780475132E-4</v>
      </c>
      <c r="Z140" s="201">
        <f t="shared" si="9"/>
        <v>483.7723870164794</v>
      </c>
      <c r="AA140" s="201">
        <f t="shared" si="9"/>
        <v>5506.7164216906394</v>
      </c>
      <c r="AB140" s="201">
        <f t="shared" si="9"/>
        <v>1.8495679591201599E-2</v>
      </c>
      <c r="AC140" s="201">
        <f t="shared" si="9"/>
        <v>2.4410919757681064</v>
      </c>
      <c r="AD140" s="201">
        <f t="shared" si="9"/>
        <v>0.46826111525990965</v>
      </c>
      <c r="AE140" s="201">
        <f t="shared" si="9"/>
        <v>1.1419736867767314</v>
      </c>
      <c r="AF140" s="201">
        <f t="shared" si="9"/>
        <v>0.38306784483675987</v>
      </c>
      <c r="AG140" s="201">
        <f t="shared" si="9"/>
        <v>921.3829139239399</v>
      </c>
      <c r="AH140" s="201">
        <f t="shared" si="9"/>
        <v>1763.4381734444003</v>
      </c>
      <c r="AI140" s="201">
        <f t="shared" si="9"/>
        <v>1.4103478750076563E-3</v>
      </c>
      <c r="AJ140" s="201">
        <f t="shared" si="9"/>
        <v>1.7254481916742201</v>
      </c>
      <c r="AK140" s="201">
        <f t="shared" si="9"/>
        <v>0.11300861298999886</v>
      </c>
      <c r="AL140" s="201">
        <f>SUM(AL127:AL139)</f>
        <v>0.89617829540980976</v>
      </c>
      <c r="AM140" s="201">
        <f>SUM(AM127:AM139)</f>
        <v>4.6872572522589607E-5</v>
      </c>
      <c r="AO140" s="201">
        <f>SUM(AO127:AO139)</f>
        <v>1.9091144627028351</v>
      </c>
      <c r="AP140" s="201">
        <f t="shared" ref="AP140:BO140" si="10">SUM(AP127:AP139)</f>
        <v>15.802309935395838</v>
      </c>
      <c r="AQ140" s="201">
        <f t="shared" si="10"/>
        <v>5.858779951177194E-3</v>
      </c>
      <c r="AR140" s="201">
        <f t="shared" si="10"/>
        <v>0.19488619735413124</v>
      </c>
      <c r="AS140" s="201">
        <f t="shared" si="10"/>
        <v>7.7262998942188965E-2</v>
      </c>
      <c r="AT140" s="201">
        <f t="shared" si="10"/>
        <v>1.0532720865647707</v>
      </c>
      <c r="AU140" s="201">
        <f t="shared" si="10"/>
        <v>0.9854520484641055</v>
      </c>
      <c r="AV140" s="201">
        <f t="shared" si="10"/>
        <v>10.299370254625067</v>
      </c>
      <c r="AW140" s="201">
        <f t="shared" si="10"/>
        <v>9.9177000812937736E-6</v>
      </c>
      <c r="AX140" s="201">
        <f t="shared" si="10"/>
        <v>4.5291415496108156E-3</v>
      </c>
      <c r="AY140" s="201">
        <f t="shared" si="10"/>
        <v>4.3348939078429746E-4</v>
      </c>
      <c r="AZ140" s="201">
        <f t="shared" si="10"/>
        <v>1.4228290253338043E-3</v>
      </c>
      <c r="BA140" s="201">
        <f t="shared" si="10"/>
        <v>5.3772865626339818E-8</v>
      </c>
      <c r="BB140" s="201">
        <f t="shared" si="10"/>
        <v>3.7571636146045306E-2</v>
      </c>
      <c r="BC140" s="201">
        <f t="shared" si="10"/>
        <v>0.4276729125264554</v>
      </c>
      <c r="BD140" s="201">
        <f t="shared" si="10"/>
        <v>1.436446069524821E-6</v>
      </c>
      <c r="BE140" s="201">
        <f t="shared" si="10"/>
        <v>1.8958465173719372E-4</v>
      </c>
      <c r="BF140" s="201">
        <f t="shared" si="10"/>
        <v>3.6366970740906323E-5</v>
      </c>
      <c r="BG140" s="201">
        <f t="shared" si="10"/>
        <v>8.869009682950693E-5</v>
      </c>
      <c r="BH140" s="201">
        <f t="shared" si="10"/>
        <v>2.9750531596517546E-5</v>
      </c>
      <c r="BI140" s="201">
        <f t="shared" si="10"/>
        <v>7.1558163554204718E-2</v>
      </c>
      <c r="BJ140" s="201">
        <f t="shared" si="10"/>
        <v>0.13695543440854305</v>
      </c>
      <c r="BK140" s="201">
        <f t="shared" si="10"/>
        <v>1.0953307510155766E-7</v>
      </c>
      <c r="BL140" s="201">
        <f t="shared" si="10"/>
        <v>1.3400498537389092E-4</v>
      </c>
      <c r="BM140" s="201">
        <f t="shared" si="10"/>
        <v>8.7766863148492448E-6</v>
      </c>
      <c r="BN140" s="201">
        <f t="shared" si="10"/>
        <v>6.9600675319183737E-5</v>
      </c>
      <c r="BO140" s="201">
        <f t="shared" si="10"/>
        <v>3.6403054149261892E-9</v>
      </c>
      <c r="CA140" s="204" t="s">
        <v>664</v>
      </c>
      <c r="CB140" s="216">
        <f>$BA$108</f>
        <v>5.4960864701167997E-7</v>
      </c>
      <c r="CC140" s="221">
        <f>$BH$108</f>
        <v>5.6170924777298392E-5</v>
      </c>
      <c r="CD140" s="226">
        <f>$BO$108</f>
        <v>1.7604318660821529E-9</v>
      </c>
    </row>
    <row r="141" spans="2:82" ht="15.75" thickBot="1" x14ac:dyDescent="0.3">
      <c r="B141" s="334"/>
      <c r="C141" s="368" t="s">
        <v>777</v>
      </c>
      <c r="D141" s="369"/>
      <c r="E141" s="369"/>
      <c r="F141" s="369"/>
      <c r="G141" s="369"/>
      <c r="H141" s="369"/>
      <c r="I141" s="369"/>
      <c r="J141" s="370"/>
      <c r="L141" s="145">
        <f>SUM(L37,L64,L108,L126,L140)</f>
        <v>212503.7262338718</v>
      </c>
      <c r="M141" s="228">
        <f>SUM(M37,M64,M108,M126)</f>
        <v>162547.05261039102</v>
      </c>
      <c r="N141" s="202">
        <f t="shared" ref="N141:AM141" si="11">SUM(N37,N64,N108,N126)</f>
        <v>1208913.3996600523</v>
      </c>
      <c r="O141" s="202">
        <f t="shared" si="11"/>
        <v>1659.8015547249997</v>
      </c>
      <c r="P141" s="202">
        <f t="shared" si="11"/>
        <v>44856.521620499989</v>
      </c>
      <c r="Q141" s="202">
        <f t="shared" si="11"/>
        <v>1466.2613618469434</v>
      </c>
      <c r="R141" s="202">
        <f t="shared" si="11"/>
        <v>36542.531137049016</v>
      </c>
      <c r="S141" s="202">
        <f t="shared" si="11"/>
        <v>135961.39925801972</v>
      </c>
      <c r="T141" s="202">
        <f t="shared" si="11"/>
        <v>1126468.4608848293</v>
      </c>
      <c r="U141" s="202">
        <f t="shared" si="11"/>
        <v>10.427820751353391</v>
      </c>
      <c r="V141" s="202">
        <f t="shared" si="11"/>
        <v>310.83635663059619</v>
      </c>
      <c r="W141" s="202">
        <f t="shared" si="11"/>
        <v>72.745919229739684</v>
      </c>
      <c r="X141" s="202">
        <f t="shared" si="11"/>
        <v>59.199107489193764</v>
      </c>
      <c r="Y141" s="202">
        <f t="shared" si="11"/>
        <v>8.6308290044931693E-3</v>
      </c>
      <c r="Z141" s="202">
        <f t="shared" si="11"/>
        <v>11318.963970885001</v>
      </c>
      <c r="AA141" s="202">
        <f t="shared" si="11"/>
        <v>63305.560607778971</v>
      </c>
      <c r="AB141" s="202">
        <f t="shared" si="11"/>
        <v>0.25652523114361159</v>
      </c>
      <c r="AC141" s="202">
        <f t="shared" si="11"/>
        <v>22.921769907990271</v>
      </c>
      <c r="AD141" s="202">
        <f t="shared" si="11"/>
        <v>6.6991842989180546</v>
      </c>
      <c r="AE141" s="202">
        <f t="shared" si="11"/>
        <v>-0.52367040963048572</v>
      </c>
      <c r="AF141" s="202">
        <f t="shared" si="11"/>
        <v>0.72467408359817898</v>
      </c>
      <c r="AG141" s="202">
        <f t="shared" si="11"/>
        <v>12912.479040349002</v>
      </c>
      <c r="AH141" s="202">
        <f t="shared" si="11"/>
        <v>6166.2444143878583</v>
      </c>
      <c r="AI141" s="202">
        <f t="shared" si="11"/>
        <v>3.3672011226382578E-3</v>
      </c>
      <c r="AJ141" s="202">
        <f t="shared" si="11"/>
        <v>2.8062085748456491</v>
      </c>
      <c r="AK141" s="202">
        <f t="shared" si="11"/>
        <v>1.6853175215183036</v>
      </c>
      <c r="AL141" s="202">
        <f t="shared" si="11"/>
        <v>0.70085709104530114</v>
      </c>
      <c r="AM141" s="202">
        <f t="shared" si="11"/>
        <v>3.0606593388724751E-5</v>
      </c>
      <c r="AO141" s="202">
        <f>SUM(AO37,AO64,AO108,AO126)</f>
        <v>12.624033287542016</v>
      </c>
      <c r="AP141" s="202">
        <f t="shared" ref="AP141:BO141" si="12">SUM(AP37,AP64,AP108,AP126)</f>
        <v>93.888894040078611</v>
      </c>
      <c r="AQ141" s="202">
        <f t="shared" si="12"/>
        <v>0.12890661344555762</v>
      </c>
      <c r="AR141" s="202">
        <f t="shared" si="12"/>
        <v>3.4837310982059644</v>
      </c>
      <c r="AS141" s="202">
        <f t="shared" si="12"/>
        <v>0.11387553291759425</v>
      </c>
      <c r="AT141" s="202">
        <f t="shared" si="12"/>
        <v>2.8380344157385089</v>
      </c>
      <c r="AU141" s="202">
        <f t="shared" si="12"/>
        <v>10.559288541318711</v>
      </c>
      <c r="AV141" s="202">
        <f t="shared" si="12"/>
        <v>87.485900969620175</v>
      </c>
      <c r="AW141" s="202">
        <f t="shared" si="12"/>
        <v>8.0986492321787756E-4</v>
      </c>
      <c r="AX141" s="202">
        <f t="shared" si="12"/>
        <v>2.4140754631142923E-2</v>
      </c>
      <c r="AY141" s="202">
        <f t="shared" si="12"/>
        <v>5.6497296699083311E-3</v>
      </c>
      <c r="AZ141" s="202">
        <f t="shared" si="12"/>
        <v>4.5976318335813728E-3</v>
      </c>
      <c r="BA141" s="202">
        <f t="shared" si="12"/>
        <v>6.703035884197862E-7</v>
      </c>
      <c r="BB141" s="202">
        <f t="shared" si="12"/>
        <v>0.87907455505475318</v>
      </c>
      <c r="BC141" s="202">
        <f t="shared" si="12"/>
        <v>4.9165548778952299</v>
      </c>
      <c r="BD141" s="202">
        <f t="shared" si="12"/>
        <v>1.9922742400094098E-5</v>
      </c>
      <c r="BE141" s="202">
        <f t="shared" si="12"/>
        <v>1.7801933758923784E-3</v>
      </c>
      <c r="BF141" s="202">
        <f t="shared" si="12"/>
        <v>5.2028458363762454E-4</v>
      </c>
      <c r="BG141" s="202">
        <f t="shared" si="12"/>
        <v>-4.067027101821113E-5</v>
      </c>
      <c r="BH141" s="202">
        <f t="shared" si="12"/>
        <v>5.6280994376994316E-5</v>
      </c>
      <c r="BI141" s="202">
        <f t="shared" si="12"/>
        <v>1.002833103475381</v>
      </c>
      <c r="BJ141" s="202">
        <f t="shared" si="12"/>
        <v>0.47889440931872157</v>
      </c>
      <c r="BK141" s="202">
        <f t="shared" si="12"/>
        <v>2.6150987283614924E-7</v>
      </c>
      <c r="BL141" s="202">
        <f t="shared" si="12"/>
        <v>2.1794102010295506E-4</v>
      </c>
      <c r="BM141" s="202">
        <f t="shared" si="12"/>
        <v>1.3088828219309597E-4</v>
      </c>
      <c r="BN141" s="202">
        <f t="shared" si="12"/>
        <v>5.4431274545301418E-5</v>
      </c>
      <c r="BO141" s="202">
        <f t="shared" si="12"/>
        <v>2.3770265135698009E-9</v>
      </c>
      <c r="CA141" s="204" t="s">
        <v>665</v>
      </c>
      <c r="CB141" s="216">
        <f>$BA$126</f>
        <v>1.2174125482042231E-8</v>
      </c>
      <c r="CC141" s="221">
        <f>$BH$126</f>
        <v>1.0036653206808636E-7</v>
      </c>
      <c r="CD141" s="226">
        <f>$BO$126</f>
        <v>2.2276519956067287E-10</v>
      </c>
    </row>
    <row r="142" spans="2:82" ht="15.75" thickBot="1" x14ac:dyDescent="0.3">
      <c r="CA142" s="47" t="s">
        <v>666</v>
      </c>
      <c r="CB142" s="217">
        <f>$BA$140</f>
        <v>5.3772865626339818E-8</v>
      </c>
      <c r="CC142" s="222">
        <f>$BH$140</f>
        <v>2.9750531596517546E-5</v>
      </c>
      <c r="CD142" s="227">
        <f>$BO$140</f>
        <v>3.6403054149261892E-9</v>
      </c>
    </row>
    <row r="146" spans="2:83" x14ac:dyDescent="0.25">
      <c r="B146" s="358"/>
    </row>
    <row r="147" spans="2:83" x14ac:dyDescent="0.25">
      <c r="B147" s="358"/>
    </row>
    <row r="148" spans="2:83" x14ac:dyDescent="0.25">
      <c r="B148" s="358"/>
      <c r="BR148" t="s">
        <v>677</v>
      </c>
    </row>
    <row r="149" spans="2:83" x14ac:dyDescent="0.25">
      <c r="B149" s="358"/>
      <c r="E149" t="s">
        <v>623</v>
      </c>
    </row>
    <row r="150" spans="2:83" x14ac:dyDescent="0.25">
      <c r="B150" s="358"/>
      <c r="E150" s="316" t="s">
        <v>624</v>
      </c>
      <c r="F150" s="316"/>
      <c r="G150" s="316"/>
      <c r="H150" s="316"/>
      <c r="BR150" t="s">
        <v>584</v>
      </c>
      <c r="BS150" t="s">
        <v>669</v>
      </c>
      <c r="BT150" t="s">
        <v>678</v>
      </c>
      <c r="BU150" t="s">
        <v>667</v>
      </c>
      <c r="BW150" t="s">
        <v>634</v>
      </c>
      <c r="BX150" t="s">
        <v>669</v>
      </c>
      <c r="BY150" t="s">
        <v>678</v>
      </c>
      <c r="BZ150" t="s">
        <v>667</v>
      </c>
      <c r="CB150" t="s">
        <v>38</v>
      </c>
      <c r="CC150" t="s">
        <v>669</v>
      </c>
      <c r="CD150" t="s">
        <v>678</v>
      </c>
      <c r="CE150" t="s">
        <v>667</v>
      </c>
    </row>
    <row r="151" spans="2:83" x14ac:dyDescent="0.25">
      <c r="B151" s="358"/>
      <c r="E151" s="316"/>
      <c r="F151" s="316"/>
      <c r="G151" s="316"/>
      <c r="H151" s="316"/>
      <c r="BR151" t="s">
        <v>39</v>
      </c>
      <c r="BS151">
        <v>12.624033287542</v>
      </c>
      <c r="BT151">
        <v>15.274319687290077</v>
      </c>
      <c r="BU151">
        <v>149.88310649699469</v>
      </c>
      <c r="BW151" t="s">
        <v>39</v>
      </c>
      <c r="BX151">
        <v>93.888894040078611</v>
      </c>
      <c r="BY151">
        <v>121.77940206100126</v>
      </c>
      <c r="BZ151">
        <v>81.327773209189971</v>
      </c>
      <c r="CB151" t="s">
        <v>39</v>
      </c>
      <c r="CC151">
        <v>10.559288541318701</v>
      </c>
      <c r="CD151">
        <v>11.581302606233281</v>
      </c>
      <c r="CE151">
        <v>-5.2205846282578658</v>
      </c>
    </row>
    <row r="152" spans="2:83" x14ac:dyDescent="0.25">
      <c r="E152" s="316"/>
      <c r="F152" s="316"/>
      <c r="G152" s="316"/>
      <c r="H152" s="316"/>
      <c r="BR152" t="s">
        <v>660</v>
      </c>
      <c r="BS152">
        <v>0.12890661344555801</v>
      </c>
      <c r="BT152">
        <v>0.1004176435427928</v>
      </c>
      <c r="BU152">
        <v>7.2195715729192977E-2</v>
      </c>
      <c r="BW152" t="s">
        <v>660</v>
      </c>
      <c r="BX152">
        <v>3.4837310982059644</v>
      </c>
      <c r="BY152">
        <v>2.5836265797117117</v>
      </c>
      <c r="BZ152">
        <v>9.0229150227830601</v>
      </c>
      <c r="CB152" t="s">
        <v>660</v>
      </c>
      <c r="CC152">
        <v>0.87907455505475318</v>
      </c>
      <c r="CD152">
        <v>0.8194614346209228</v>
      </c>
      <c r="CE152">
        <v>1.2442475436921272</v>
      </c>
    </row>
    <row r="153" spans="2:83" x14ac:dyDescent="0.25">
      <c r="E153" s="316"/>
      <c r="F153" s="316"/>
      <c r="G153" s="316"/>
      <c r="H153" s="316"/>
      <c r="BR153" t="s">
        <v>661</v>
      </c>
      <c r="BS153">
        <v>0.11387553291759425</v>
      </c>
      <c r="BT153">
        <v>0.11360895015738923</v>
      </c>
      <c r="BU153">
        <v>0.10667388769265888</v>
      </c>
      <c r="BW153" t="s">
        <v>661</v>
      </c>
      <c r="BX153">
        <v>2.8380344157385089</v>
      </c>
      <c r="BY153">
        <v>2.8094351777818454</v>
      </c>
      <c r="BZ153">
        <v>2.831082976701659</v>
      </c>
      <c r="CB153" t="s">
        <v>661</v>
      </c>
      <c r="CC153">
        <v>1.002833103475381</v>
      </c>
      <c r="CD153">
        <v>0.99976518641525181</v>
      </c>
      <c r="CE153">
        <v>0.9610336613103585</v>
      </c>
    </row>
    <row r="154" spans="2:83" x14ac:dyDescent="0.25">
      <c r="E154" s="316"/>
      <c r="F154" s="316"/>
      <c r="G154" s="316"/>
      <c r="H154" s="316"/>
      <c r="BR154" t="s">
        <v>679</v>
      </c>
      <c r="BS154">
        <f>SUM(BS151:BS153)</f>
        <v>12.866815433905153</v>
      </c>
      <c r="BT154">
        <f>SUM(BT151:BT153)</f>
        <v>15.488346280990259</v>
      </c>
      <c r="BU154">
        <f>SUM(BU151:BU153)</f>
        <v>150.06197610041653</v>
      </c>
      <c r="BW154" t="s">
        <v>679</v>
      </c>
      <c r="BX154">
        <f>SUM(BX151:BX153)</f>
        <v>100.21065955402308</v>
      </c>
      <c r="BY154">
        <f>SUM(BY151:BY153)</f>
        <v>127.17246381849482</v>
      </c>
      <c r="BZ154">
        <f>SUM(BZ151:BZ153)</f>
        <v>93.181771208674704</v>
      </c>
      <c r="CB154" t="s">
        <v>679</v>
      </c>
      <c r="CC154">
        <f>SUM(CC151:CC153)</f>
        <v>12.441196199848836</v>
      </c>
      <c r="CD154">
        <f>SUM(CD151:CD153)</f>
        <v>13.400529227269455</v>
      </c>
      <c r="CE154">
        <f>SUM(CE151:CE153)</f>
        <v>-3.0153034232553799</v>
      </c>
    </row>
  </sheetData>
  <mergeCells count="100">
    <mergeCell ref="C6:L8"/>
    <mergeCell ref="E150:H154"/>
    <mergeCell ref="M9:O9"/>
    <mergeCell ref="AO16:AT16"/>
    <mergeCell ref="M16:S16"/>
    <mergeCell ref="O17:P17"/>
    <mergeCell ref="Q17:R17"/>
    <mergeCell ref="Z17:AF17"/>
    <mergeCell ref="S17:Y17"/>
    <mergeCell ref="M12:P12"/>
    <mergeCell ref="M13:P13"/>
    <mergeCell ref="M14:P14"/>
    <mergeCell ref="P6:R6"/>
    <mergeCell ref="Q11:R11"/>
    <mergeCell ref="E137:E138"/>
    <mergeCell ref="D109:D122"/>
    <mergeCell ref="BB17:BH17"/>
    <mergeCell ref="AU17:BA17"/>
    <mergeCell ref="AO17:AP17"/>
    <mergeCell ref="AQ17:AR17"/>
    <mergeCell ref="AG17:AM17"/>
    <mergeCell ref="CB128:CD128"/>
    <mergeCell ref="CA136:CA137"/>
    <mergeCell ref="CB136:CD136"/>
    <mergeCell ref="AS17:AT17"/>
    <mergeCell ref="BI17:BO17"/>
    <mergeCell ref="BQ123:BQ124"/>
    <mergeCell ref="BR123:BT123"/>
    <mergeCell ref="BQ131:BQ132"/>
    <mergeCell ref="BR131:BT131"/>
    <mergeCell ref="CA128:CA129"/>
    <mergeCell ref="BV128:BV129"/>
    <mergeCell ref="BW128:BY128"/>
    <mergeCell ref="CA120:CA121"/>
    <mergeCell ref="CB120:CD120"/>
    <mergeCell ref="BV120:BV121"/>
    <mergeCell ref="BW120:BY120"/>
    <mergeCell ref="M5:R5"/>
    <mergeCell ref="M6:O6"/>
    <mergeCell ref="M7:O7"/>
    <mergeCell ref="M8:O8"/>
    <mergeCell ref="P7:R7"/>
    <mergeCell ref="P8:R8"/>
    <mergeCell ref="E124:E125"/>
    <mergeCell ref="B146:B151"/>
    <mergeCell ref="C21:C37"/>
    <mergeCell ref="D37:J37"/>
    <mergeCell ref="C38:C64"/>
    <mergeCell ref="D64:J64"/>
    <mergeCell ref="C65:C108"/>
    <mergeCell ref="D108:J108"/>
    <mergeCell ref="C109:C126"/>
    <mergeCell ref="D126:J126"/>
    <mergeCell ref="C127:C140"/>
    <mergeCell ref="D140:J140"/>
    <mergeCell ref="C141:J141"/>
    <mergeCell ref="B21:B141"/>
    <mergeCell ref="D132:D139"/>
    <mergeCell ref="D61:E63"/>
    <mergeCell ref="D127:D131"/>
    <mergeCell ref="E127:E128"/>
    <mergeCell ref="E65:E67"/>
    <mergeCell ref="E68:E71"/>
    <mergeCell ref="E72:E75"/>
    <mergeCell ref="E76:E77"/>
    <mergeCell ref="D78:D94"/>
    <mergeCell ref="E78:E79"/>
    <mergeCell ref="E80:E82"/>
    <mergeCell ref="E83:E87"/>
    <mergeCell ref="E88:E90"/>
    <mergeCell ref="E91:E92"/>
    <mergeCell ref="E109:E112"/>
    <mergeCell ref="E113:E118"/>
    <mergeCell ref="E119:E122"/>
    <mergeCell ref="D123:D125"/>
    <mergeCell ref="E135:E136"/>
    <mergeCell ref="E50:E52"/>
    <mergeCell ref="E53:E57"/>
    <mergeCell ref="M17:N17"/>
    <mergeCell ref="D35:E36"/>
    <mergeCell ref="D38:D60"/>
    <mergeCell ref="E38:E42"/>
    <mergeCell ref="E43:E47"/>
    <mergeCell ref="E48:E49"/>
    <mergeCell ref="E58:E60"/>
    <mergeCell ref="E26:E28"/>
    <mergeCell ref="E29:E31"/>
    <mergeCell ref="E32:E34"/>
    <mergeCell ref="D19:E19"/>
    <mergeCell ref="D21:E22"/>
    <mergeCell ref="D23:D34"/>
    <mergeCell ref="E23:E25"/>
    <mergeCell ref="D95:D107"/>
    <mergeCell ref="E95:E102"/>
    <mergeCell ref="E103:E107"/>
    <mergeCell ref="CB112:CD112"/>
    <mergeCell ref="BV112:BV113"/>
    <mergeCell ref="BW112:BY112"/>
    <mergeCell ref="CA112:CA113"/>
    <mergeCell ref="D65:D77"/>
  </mergeCells>
  <phoneticPr fontId="4" type="noConversion"/>
  <pageMargins left="0.78740157480314965" right="0.70866141732283472" top="0.74803149606299213" bottom="0.74803149606299213" header="0.31496062992125984" footer="0.31496062992125984"/>
  <pageSetup paperSize="8" scale="29" fitToWidth="0" orientation="landscape" r:id="rId1"/>
  <headerFooter>
    <oddFooter>&amp;C&amp;D
Page &amp;P</oddFooter>
  </headerFooter>
  <rowBreaks count="1" manualBreakCount="1">
    <brk id="142" min="1" max="66" man="1"/>
  </rowBreaks>
  <colBreaks count="1" manualBreakCount="1">
    <brk id="39" max="141" man="1"/>
  </colBreaks>
  <ignoredErrors>
    <ignoredError sqref="L64:M64 L126:M126 L37:M37 L108:M108 R37:Y37 AG37:AM37 Z37:AF37 AG64:AM64 Z64:AF64 S64:Y64 N64:R64 N108:AM108 N126:AM126 AT37:BA37 AO37:AS37 BB37:BG37 BH37:BO37 AQ64:BO64 AO108:AY108 AZ108:BC108 BI108:BL108 BE108:BG108 AO64:AP64 BM108:BO108 AO126:BG126 BI126:BO126 N37:Q37" formula="1"/>
    <ignoredError sqref="BH108 BD108 BH126" evalError="1"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23C83-9B4F-4C6D-9F17-4D4D429660EA}">
  <dimension ref="G6:AA15"/>
  <sheetViews>
    <sheetView view="pageBreakPreview" zoomScale="55" zoomScaleNormal="55" zoomScaleSheetLayoutView="55" workbookViewId="0">
      <selection activeCell="J12" sqref="J12"/>
    </sheetView>
  </sheetViews>
  <sheetFormatPr baseColWidth="10" defaultRowHeight="15" x14ac:dyDescent="0.25"/>
  <cols>
    <col min="24" max="24" width="52" customWidth="1"/>
    <col min="27" max="27" width="45.28515625" customWidth="1"/>
  </cols>
  <sheetData>
    <row r="6" spans="7:27" ht="23.25" x14ac:dyDescent="0.35">
      <c r="K6" s="13"/>
      <c r="L6" s="264"/>
      <c r="M6" s="264"/>
      <c r="N6" s="264"/>
      <c r="Q6" s="264"/>
      <c r="R6" s="263" t="s">
        <v>774</v>
      </c>
      <c r="S6" s="264"/>
    </row>
    <row r="7" spans="7:27" ht="42.75" customHeight="1" x14ac:dyDescent="0.25">
      <c r="G7" s="405" t="s">
        <v>775</v>
      </c>
      <c r="H7" s="405"/>
      <c r="I7" s="405"/>
      <c r="J7" s="405"/>
      <c r="K7" s="405"/>
      <c r="L7" s="405"/>
      <c r="M7" s="405"/>
      <c r="N7" s="405"/>
      <c r="O7" s="405"/>
      <c r="P7" s="405"/>
      <c r="Q7" s="405"/>
      <c r="R7" s="405"/>
      <c r="S7" s="405"/>
      <c r="T7" s="405"/>
      <c r="U7" s="405"/>
      <c r="V7" s="405"/>
      <c r="W7" s="405"/>
      <c r="X7" s="405"/>
      <c r="Y7" s="405"/>
    </row>
    <row r="8" spans="7:27" ht="13.5" customHeight="1" x14ac:dyDescent="0.25">
      <c r="G8" s="405"/>
      <c r="H8" s="405"/>
      <c r="I8" s="405"/>
      <c r="J8" s="405"/>
      <c r="K8" s="405"/>
      <c r="L8" s="405"/>
      <c r="M8" s="405"/>
      <c r="N8" s="405"/>
      <c r="O8" s="405"/>
      <c r="P8" s="405"/>
      <c r="Q8" s="405"/>
      <c r="R8" s="405"/>
      <c r="S8" s="405"/>
      <c r="T8" s="405"/>
      <c r="U8" s="405"/>
      <c r="V8" s="405"/>
      <c r="W8" s="405"/>
      <c r="X8" s="405"/>
      <c r="Y8" s="405"/>
    </row>
    <row r="9" spans="7:27" ht="9.75" hidden="1" customHeight="1" x14ac:dyDescent="0.25">
      <c r="G9" s="405"/>
      <c r="H9" s="405"/>
      <c r="I9" s="405"/>
      <c r="J9" s="405"/>
      <c r="K9" s="405"/>
      <c r="L9" s="405"/>
      <c r="M9" s="405"/>
      <c r="N9" s="405"/>
      <c r="O9" s="405"/>
      <c r="P9" s="405"/>
      <c r="Q9" s="405"/>
      <c r="R9" s="405"/>
      <c r="S9" s="405"/>
      <c r="T9" s="405"/>
      <c r="U9" s="405"/>
      <c r="V9" s="405"/>
      <c r="W9" s="405"/>
      <c r="X9" s="405"/>
      <c r="Y9" s="405"/>
    </row>
    <row r="10" spans="7:27" ht="21.75" thickBot="1" x14ac:dyDescent="0.3">
      <c r="K10" s="248"/>
      <c r="L10" s="280"/>
      <c r="M10" s="280"/>
      <c r="N10" s="280"/>
      <c r="O10" s="280"/>
      <c r="P10" s="280"/>
      <c r="Q10" s="280"/>
      <c r="R10" s="280"/>
      <c r="S10" s="280"/>
      <c r="T10" s="280"/>
    </row>
    <row r="11" spans="7:27" ht="27" thickBot="1" x14ac:dyDescent="0.45">
      <c r="L11" s="281"/>
      <c r="M11" s="281"/>
      <c r="N11" s="281"/>
      <c r="P11" s="281"/>
      <c r="Q11" s="282" t="s">
        <v>776</v>
      </c>
      <c r="R11" s="281"/>
      <c r="S11" s="281"/>
      <c r="T11" s="281"/>
      <c r="V11" s="406" t="s">
        <v>644</v>
      </c>
      <c r="W11" s="407"/>
      <c r="X11" s="407"/>
      <c r="Y11" s="407"/>
      <c r="Z11" s="407"/>
      <c r="AA11" s="408"/>
    </row>
    <row r="12" spans="7:27" ht="26.25" x14ac:dyDescent="0.4">
      <c r="L12" s="281"/>
      <c r="M12" s="281"/>
      <c r="N12" s="281"/>
      <c r="O12" s="281"/>
      <c r="P12" s="281"/>
      <c r="Q12" s="281"/>
      <c r="R12" s="281"/>
      <c r="S12" s="281"/>
      <c r="T12" s="281"/>
      <c r="V12" s="409" t="s">
        <v>241</v>
      </c>
      <c r="W12" s="410"/>
      <c r="X12" s="410"/>
      <c r="Y12" s="410" t="s">
        <v>250</v>
      </c>
      <c r="Z12" s="410"/>
      <c r="AA12" s="411"/>
    </row>
    <row r="13" spans="7:27" ht="31.5" x14ac:dyDescent="0.5">
      <c r="L13" s="281"/>
      <c r="M13" s="281"/>
      <c r="N13" s="283"/>
      <c r="P13" s="283"/>
      <c r="Q13" s="286" t="s">
        <v>792</v>
      </c>
      <c r="R13" s="281"/>
      <c r="S13" s="281"/>
      <c r="T13" s="281"/>
      <c r="V13" s="398" t="s">
        <v>242</v>
      </c>
      <c r="W13" s="399"/>
      <c r="X13" s="399"/>
      <c r="Y13" s="400" t="s">
        <v>252</v>
      </c>
      <c r="Z13" s="400"/>
      <c r="AA13" s="401"/>
    </row>
    <row r="14" spans="7:27" ht="26.25" x14ac:dyDescent="0.4">
      <c r="L14" s="281"/>
      <c r="M14" s="281"/>
      <c r="N14" s="281"/>
      <c r="O14" s="281"/>
      <c r="P14" s="281"/>
      <c r="Q14" s="281"/>
      <c r="R14" s="281"/>
      <c r="S14" s="281"/>
      <c r="T14" s="281"/>
      <c r="V14" s="398" t="s">
        <v>245</v>
      </c>
      <c r="W14" s="399"/>
      <c r="X14" s="399"/>
      <c r="Y14" s="400" t="s">
        <v>255</v>
      </c>
      <c r="Z14" s="400"/>
      <c r="AA14" s="401"/>
    </row>
    <row r="15" spans="7:27" ht="27" thickBot="1" x14ac:dyDescent="0.45">
      <c r="K15" s="281"/>
      <c r="N15" s="284" t="s">
        <v>788</v>
      </c>
      <c r="O15" s="285" t="str">
        <f>'Building &amp; Material inputs'!C15</f>
        <v xml:space="preserve"> Single-family house in concrete and bricks</v>
      </c>
      <c r="Q15" s="279"/>
      <c r="R15" s="281"/>
      <c r="S15" s="281"/>
      <c r="T15" s="281"/>
      <c r="V15" s="402" t="s">
        <v>248</v>
      </c>
      <c r="W15" s="403"/>
      <c r="X15" s="404"/>
      <c r="Y15" s="287"/>
      <c r="Z15" s="288"/>
      <c r="AA15" s="289"/>
    </row>
  </sheetData>
  <mergeCells count="9">
    <mergeCell ref="V14:X14"/>
    <mergeCell ref="Y14:AA14"/>
    <mergeCell ref="V15:X15"/>
    <mergeCell ref="G7:Y9"/>
    <mergeCell ref="V11:AA11"/>
    <mergeCell ref="V12:X12"/>
    <mergeCell ref="Y12:AA12"/>
    <mergeCell ref="V13:X13"/>
    <mergeCell ref="Y13:AA13"/>
  </mergeCells>
  <phoneticPr fontId="4" type="noConversion"/>
  <pageMargins left="1.1811023622047245" right="0.70866141732283472" top="0.74803149606299213" bottom="0.74803149606299213" header="0.31496062992125984" footer="0.31496062992125984"/>
  <pageSetup paperSize="9" scale="30" fitToHeight="4" orientation="landscape" horizontalDpi="1200" verticalDpi="1200" r:id="rId1"/>
  <headerFooter>
    <oddFooter>&amp;C&amp;D
Page &amp;P</oddFooter>
  </headerFooter>
  <rowBreaks count="2" manualBreakCount="2">
    <brk id="92" max="26" man="1"/>
    <brk id="168" max="26"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50D32999D1BA1478A2C7B306398448C" ma:contentTypeVersion="15" ma:contentTypeDescription="Crear nuevo documento." ma:contentTypeScope="" ma:versionID="01c4fba91624715b9fea24b8efd0b4c4">
  <xsd:schema xmlns:xsd="http://www.w3.org/2001/XMLSchema" xmlns:xs="http://www.w3.org/2001/XMLSchema" xmlns:p="http://schemas.microsoft.com/office/2006/metadata/properties" xmlns:ns2="08eabc94-8b68-40b4-a129-48bc7eb6af49" xmlns:ns3="e3e1404c-63ef-4030-814e-69be294e8f3e" targetNamespace="http://schemas.microsoft.com/office/2006/metadata/properties" ma:root="true" ma:fieldsID="75c0491ea017263927957ef0de1b7558" ns2:_="" ns3:_="">
    <xsd:import namespace="08eabc94-8b68-40b4-a129-48bc7eb6af49"/>
    <xsd:import namespace="e3e1404c-63ef-4030-814e-69be294e8f3e"/>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eabc94-8b68-40b4-a129-48bc7eb6af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0df4930c-91c5-452e-b6ab-428d5d93c60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Location" ma:index="14" nillable="true" ma:displayName="Location" ma:indexed="true"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3e1404c-63ef-4030-814e-69be294e8f3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584299a-f06d-4d21-8858-b04392344fa1}" ma:internalName="TaxCatchAll" ma:showField="CatchAllData" ma:web="e3e1404c-63ef-4030-814e-69be294e8f3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8eabc94-8b68-40b4-a129-48bc7eb6af49">
      <Terms xmlns="http://schemas.microsoft.com/office/infopath/2007/PartnerControls"/>
    </lcf76f155ced4ddcb4097134ff3c332f>
    <TaxCatchAll xmlns="e3e1404c-63ef-4030-814e-69be294e8f3e" xsi:nil="true"/>
  </documentManagement>
</p:properties>
</file>

<file path=customXml/itemProps1.xml><?xml version="1.0" encoding="utf-8"?>
<ds:datastoreItem xmlns:ds="http://schemas.openxmlformats.org/officeDocument/2006/customXml" ds:itemID="{F66C5DE3-FA48-4B5D-975C-A6FA321645A0}">
  <ds:schemaRefs>
    <ds:schemaRef ds:uri="http://schemas.microsoft.com/sharepoint/v3/contenttype/forms"/>
  </ds:schemaRefs>
</ds:datastoreItem>
</file>

<file path=customXml/itemProps2.xml><?xml version="1.0" encoding="utf-8"?>
<ds:datastoreItem xmlns:ds="http://schemas.openxmlformats.org/officeDocument/2006/customXml" ds:itemID="{69015B0C-9A24-4BBF-81CC-4C4D8E394785}"/>
</file>

<file path=customXml/itemProps3.xml><?xml version="1.0" encoding="utf-8"?>
<ds:datastoreItem xmlns:ds="http://schemas.openxmlformats.org/officeDocument/2006/customXml" ds:itemID="{68F26D06-F010-49C2-9D4E-56C90C4330AE}">
  <ds:schemaRefs>
    <ds:schemaRef ds:uri="http://schemas.microsoft.com/office/2006/metadata/properties"/>
    <ds:schemaRef ds:uri="http://schemas.microsoft.com/office/infopath/2007/PartnerControls"/>
    <ds:schemaRef ds:uri="08eabc94-8b68-40b4-a129-48bc7eb6af49"/>
    <ds:schemaRef ds:uri="e3e1404c-63ef-4030-814e-69be294e8f3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16</vt:i4>
      </vt:variant>
    </vt:vector>
  </HeadingPairs>
  <TitlesOfParts>
    <vt:vector size="22" baseType="lpstr">
      <vt:lpstr>Readme</vt:lpstr>
      <vt:lpstr>Building &amp; Material inputs</vt:lpstr>
      <vt:lpstr>Material quantities</vt:lpstr>
      <vt:lpstr>Material impact data</vt:lpstr>
      <vt:lpstr>Results - Tables</vt:lpstr>
      <vt:lpstr>Graphical Results</vt:lpstr>
      <vt:lpstr>Readme!_Hlk124411329</vt:lpstr>
      <vt:lpstr>'Building &amp; Material inputs'!Área_de_impresión</vt:lpstr>
      <vt:lpstr>'Graphical Results'!Área_de_impresión</vt:lpstr>
      <vt:lpstr>'Material impact data'!Área_de_impresión</vt:lpstr>
      <vt:lpstr>'Material quantities'!Área_de_impresión</vt:lpstr>
      <vt:lpstr>'Results - Tables'!Área_de_impresión</vt:lpstr>
      <vt:lpstr>e</vt:lpstr>
      <vt:lpstr>nr</vt:lpstr>
      <vt:lpstr>Par_1</vt:lpstr>
      <vt:lpstr>Par_2</vt:lpstr>
      <vt:lpstr>Par_3</vt:lpstr>
      <vt:lpstr>'Building &amp; Material inputs'!Títulos_a_imprimir</vt:lpstr>
      <vt:lpstr>'Graphical Results'!Títulos_a_imprimir</vt:lpstr>
      <vt:lpstr>'Material impact data'!Títulos_a_imprimir</vt:lpstr>
      <vt:lpstr>'Material quantities'!Títulos_a_imprimir</vt:lpstr>
      <vt:lpstr>'Results - Tables'!Títulos_a_imprimir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Lars Gunnar Furelid Tellnes</dc:creator>
  <cp:keywords/>
  <dc:description/>
  <cp:lastModifiedBy>OLMOS NOGUERA, JOSÉ MANUEL</cp:lastModifiedBy>
  <cp:revision/>
  <cp:lastPrinted>2024-05-14T21:29:31Z</cp:lastPrinted>
  <dcterms:created xsi:type="dcterms:W3CDTF">2015-06-05T18:17:20Z</dcterms:created>
  <dcterms:modified xsi:type="dcterms:W3CDTF">2024-06-28T11:59:40Z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0x010100250D32999D1BA1478A2C7B306398448C</vt:lpwstr>
  </property>
  <property fmtid="{D5CDD505-2E9C-101B-9397-08002B2CF9AE}" pid="3" name="MediaServiceImageTags">
    <vt:lpwstr/>
  </property>
</Properties>
</file>